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kratz\Documents\Documents\Relief Sale\"/>
    </mc:Choice>
  </mc:AlternateContent>
  <bookViews>
    <workbookView xWindow="0" yWindow="0" windowWidth="28800" windowHeight="11835"/>
  </bookViews>
  <sheets>
    <sheet name="Annual Report 2022" sheetId="1" r:id="rId1"/>
  </sheets>
  <definedNames>
    <definedName name="__xlnm.Print_Area">"#n"/"a"</definedName>
    <definedName name="__xlnm.Print_Area_12" localSheetId="0">'Annual Report 2022'!$A$1:$M$75</definedName>
    <definedName name="__xlnm.Print_Titles_11">"$#REF!.$A$1:$B$65536;$#REF!.$A$1:$AMJ$1"</definedName>
    <definedName name="_xlnm.Print_Area" localSheetId="0">'Annual Report 2022'!$78:$161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6" i="1" l="1"/>
  <c r="J14" i="1"/>
  <c r="J10" i="1"/>
  <c r="J137" i="1" l="1"/>
  <c r="I158" i="1" l="1"/>
  <c r="I137" i="1"/>
  <c r="I115" i="1"/>
  <c r="J159" i="1" l="1"/>
  <c r="I159" i="1"/>
  <c r="F159" i="1"/>
  <c r="F127" i="1"/>
  <c r="G127" i="1"/>
  <c r="H128" i="1" s="1"/>
  <c r="D128" i="1"/>
  <c r="E128" i="1"/>
  <c r="F128" i="1"/>
  <c r="I128" i="1"/>
  <c r="B115" i="1"/>
  <c r="D115" i="1"/>
  <c r="E115" i="1"/>
  <c r="F115" i="1"/>
  <c r="G115" i="1"/>
  <c r="H115" i="1"/>
  <c r="F158" i="1"/>
  <c r="G128" i="1" l="1"/>
  <c r="J60" i="1"/>
  <c r="J52" i="1"/>
  <c r="J71" i="1"/>
  <c r="B111" i="1"/>
  <c r="E111" i="1" s="1"/>
  <c r="B134" i="1"/>
  <c r="B123" i="1"/>
  <c r="D85" i="1"/>
  <c r="Q159" i="1"/>
  <c r="N159" i="1"/>
  <c r="M159" i="1"/>
  <c r="X158" i="1"/>
  <c r="W158" i="1"/>
  <c r="V158" i="1"/>
  <c r="U158" i="1"/>
  <c r="T158" i="1"/>
  <c r="S158" i="1"/>
  <c r="P158" i="1"/>
  <c r="O158" i="1"/>
  <c r="L158" i="1"/>
  <c r="K158" i="1"/>
  <c r="J158" i="1"/>
  <c r="H158" i="1"/>
  <c r="G158" i="1"/>
  <c r="D158" i="1"/>
  <c r="I35" i="1" s="1"/>
  <c r="E157" i="1"/>
  <c r="H21" i="1" s="1"/>
  <c r="B156" i="1"/>
  <c r="E156" i="1" s="1"/>
  <c r="E155" i="1"/>
  <c r="E154" i="1"/>
  <c r="E153" i="1"/>
  <c r="E152" i="1"/>
  <c r="J15" i="1" s="1"/>
  <c r="J24" i="1" s="1"/>
  <c r="E151" i="1"/>
  <c r="E150" i="1"/>
  <c r="E149" i="1"/>
  <c r="E148" i="1"/>
  <c r="E147" i="1"/>
  <c r="E146" i="1"/>
  <c r="E145" i="1"/>
  <c r="E144" i="1"/>
  <c r="E143" i="1"/>
  <c r="E142" i="1"/>
  <c r="B141" i="1"/>
  <c r="X137" i="1"/>
  <c r="W137" i="1"/>
  <c r="V137" i="1"/>
  <c r="U137" i="1"/>
  <c r="T137" i="1"/>
  <c r="S137" i="1"/>
  <c r="R137" i="1"/>
  <c r="R159" i="1" s="1"/>
  <c r="P137" i="1"/>
  <c r="O137" i="1"/>
  <c r="H137" i="1"/>
  <c r="F137" i="1"/>
  <c r="E136" i="1"/>
  <c r="E135" i="1"/>
  <c r="D134" i="1"/>
  <c r="E133" i="1"/>
  <c r="E132" i="1"/>
  <c r="X128" i="1"/>
  <c r="W128" i="1"/>
  <c r="V128" i="1"/>
  <c r="U128" i="1"/>
  <c r="T128" i="1"/>
  <c r="S128" i="1"/>
  <c r="P128" i="1"/>
  <c r="O128" i="1"/>
  <c r="E127" i="1"/>
  <c r="E126" i="1"/>
  <c r="B125" i="1"/>
  <c r="E125" i="1" s="1"/>
  <c r="E124" i="1"/>
  <c r="D123" i="1"/>
  <c r="I31" i="1" s="1"/>
  <c r="E122" i="1"/>
  <c r="E121" i="1"/>
  <c r="E120" i="1"/>
  <c r="X115" i="1"/>
  <c r="V115" i="1"/>
  <c r="U115" i="1"/>
  <c r="T115" i="1"/>
  <c r="S115" i="1"/>
  <c r="P115" i="1"/>
  <c r="O115" i="1"/>
  <c r="E114" i="1"/>
  <c r="E113" i="1"/>
  <c r="E112" i="1"/>
  <c r="E110" i="1"/>
  <c r="E109" i="1"/>
  <c r="E108" i="1"/>
  <c r="E107" i="1"/>
  <c r="E106" i="1"/>
  <c r="B105" i="1"/>
  <c r="E105" i="1" s="1"/>
  <c r="E104" i="1"/>
  <c r="E103" i="1"/>
  <c r="E102" i="1"/>
  <c r="E101" i="1"/>
  <c r="E100" i="1"/>
  <c r="B99" i="1"/>
  <c r="E99" i="1" s="1"/>
  <c r="E98" i="1"/>
  <c r="E97" i="1"/>
  <c r="D96" i="1"/>
  <c r="B96" i="1"/>
  <c r="E95" i="1"/>
  <c r="D94" i="1"/>
  <c r="B94" i="1"/>
  <c r="E93" i="1"/>
  <c r="W92" i="1"/>
  <c r="W115" i="1" s="1"/>
  <c r="B92" i="1"/>
  <c r="E92" i="1" s="1"/>
  <c r="E91" i="1"/>
  <c r="E90" i="1"/>
  <c r="E89" i="1"/>
  <c r="D88" i="1"/>
  <c r="B88" i="1"/>
  <c r="B87" i="1"/>
  <c r="E87" i="1" s="1"/>
  <c r="D86" i="1"/>
  <c r="B86" i="1"/>
  <c r="B85" i="1"/>
  <c r="J70" i="1"/>
  <c r="I61" i="1"/>
  <c r="I44" i="1"/>
  <c r="J47" i="1" s="1"/>
  <c r="E85" i="1" l="1"/>
  <c r="E88" i="1"/>
  <c r="B158" i="1"/>
  <c r="F35" i="1" s="1"/>
  <c r="E86" i="1"/>
  <c r="V159" i="1"/>
  <c r="T159" i="1"/>
  <c r="E134" i="1"/>
  <c r="E137" i="1" s="1"/>
  <c r="H159" i="1"/>
  <c r="O159" i="1"/>
  <c r="J65" i="1"/>
  <c r="W159" i="1"/>
  <c r="U159" i="1"/>
  <c r="G159" i="1"/>
  <c r="I29" i="1"/>
  <c r="E94" i="1"/>
  <c r="E123" i="1"/>
  <c r="B128" i="1"/>
  <c r="F31" i="1" s="1"/>
  <c r="J31" i="1" s="1"/>
  <c r="X159" i="1"/>
  <c r="E96" i="1"/>
  <c r="P159" i="1"/>
  <c r="F29" i="1"/>
  <c r="J35" i="1"/>
  <c r="S159" i="1"/>
  <c r="E141" i="1"/>
  <c r="B137" i="1"/>
  <c r="F33" i="1" s="1"/>
  <c r="D137" i="1"/>
  <c r="I33" i="1" s="1"/>
  <c r="J72" i="1" l="1"/>
  <c r="I37" i="1" s="1"/>
  <c r="J33" i="1"/>
  <c r="E158" i="1"/>
  <c r="D159" i="1"/>
  <c r="I36" i="1"/>
  <c r="B159" i="1"/>
  <c r="J29" i="1"/>
  <c r="F38" i="1"/>
  <c r="F36" i="1"/>
  <c r="J36" i="1" l="1"/>
  <c r="I38" i="1"/>
  <c r="J12" i="1" s="1"/>
  <c r="E159" i="1"/>
  <c r="J11" i="1"/>
  <c r="J38" i="1" l="1"/>
</calcChain>
</file>

<file path=xl/sharedStrings.xml><?xml version="1.0" encoding="utf-8"?>
<sst xmlns="http://schemas.openxmlformats.org/spreadsheetml/2006/main" count="230" uniqueCount="147">
  <si>
    <t>vareliefsale.com</t>
  </si>
  <si>
    <t xml:space="preserve">     Savings  Acct.</t>
  </si>
  <si>
    <t xml:space="preserve"> Income</t>
  </si>
  <si>
    <t xml:space="preserve"> Expense</t>
  </si>
  <si>
    <t>Gift &amp; Thrift applebutter sales</t>
  </si>
  <si>
    <t>Account balance</t>
  </si>
  <si>
    <t>Roberta Webb</t>
  </si>
  <si>
    <t>Valley Misson</t>
  </si>
  <si>
    <t xml:space="preserve">  Mennonite Central Committee</t>
  </si>
  <si>
    <t>Share Our Surplus for Refugee Relief</t>
  </si>
  <si>
    <t>https://mcc.org/</t>
  </si>
  <si>
    <r>
      <rPr>
        <b/>
        <i/>
        <sz val="12"/>
        <rFont val="Cambria"/>
        <family val="1"/>
      </rPr>
      <t xml:space="preserve">  Total donations 2022  Va Mennonite Relief Sale</t>
    </r>
    <r>
      <rPr>
        <i/>
        <sz val="12"/>
        <rFont val="Cambria"/>
        <family val="1"/>
      </rPr>
      <t xml:space="preserve"> </t>
    </r>
  </si>
  <si>
    <t>Opening Balance for 2023 Virginia Mennonite Relief Sale</t>
  </si>
  <si>
    <t>INCOME</t>
  </si>
  <si>
    <t>EXPENSES</t>
  </si>
  <si>
    <t>PROFIT</t>
  </si>
  <si>
    <t xml:space="preserve"> </t>
  </si>
  <si>
    <t>FOOD</t>
  </si>
  <si>
    <t>SEWING</t>
  </si>
  <si>
    <t>PRODUCE</t>
  </si>
  <si>
    <t>MISC  AREAS</t>
  </si>
  <si>
    <t>subtotal</t>
  </si>
  <si>
    <t>GENERAL EXPENSES</t>
  </si>
  <si>
    <t xml:space="preserve">                             </t>
  </si>
  <si>
    <t>Total</t>
  </si>
  <si>
    <t>General Expenses</t>
  </si>
  <si>
    <t>Publicity</t>
  </si>
  <si>
    <t>Newsprint</t>
  </si>
  <si>
    <t>Radio</t>
  </si>
  <si>
    <t>E-Mail Marketing</t>
  </si>
  <si>
    <t>Total Publicity Expense</t>
  </si>
  <si>
    <t>Insurance</t>
  </si>
  <si>
    <t>Postage &amp; Delivery</t>
  </si>
  <si>
    <t>Printing &amp; Reproduction</t>
  </si>
  <si>
    <t>Office Supplies</t>
  </si>
  <si>
    <t>Service Charge</t>
  </si>
  <si>
    <t>Va. Conference membership</t>
  </si>
  <si>
    <t>Credit Card Fee</t>
  </si>
  <si>
    <t>Va. State registration</t>
  </si>
  <si>
    <t xml:space="preserve">Wharton Aldhizer &amp; Weaver </t>
  </si>
  <si>
    <t>Rent</t>
  </si>
  <si>
    <t xml:space="preserve">Chew Bros.  </t>
  </si>
  <si>
    <t>sound eq. rental</t>
  </si>
  <si>
    <t>KDP Inc.</t>
  </si>
  <si>
    <t>Sinks</t>
  </si>
  <si>
    <t>CVR rental</t>
  </si>
  <si>
    <t>Rockingham Cty Fairgrounds</t>
  </si>
  <si>
    <t xml:space="preserve">  </t>
  </si>
  <si>
    <t>Total Rent</t>
  </si>
  <si>
    <t>Sale day change</t>
  </si>
  <si>
    <t>Sales Tax</t>
  </si>
  <si>
    <t>Tax return preparation</t>
  </si>
  <si>
    <t>Miscellanious</t>
  </si>
  <si>
    <t>Utilities (Propane)</t>
  </si>
  <si>
    <t>General  Expense Total</t>
  </si>
  <si>
    <t xml:space="preserve">                              2022 Va. Mennonite Relief Sale income &amp; Exp. detail</t>
  </si>
  <si>
    <t>Food items</t>
  </si>
  <si>
    <t>Income</t>
  </si>
  <si>
    <t>Expense</t>
  </si>
  <si>
    <t>Profit</t>
  </si>
  <si>
    <t>Baked Goods &amp; Potato Chips</t>
  </si>
  <si>
    <t xml:space="preserve">                                      These items were sold together in  2020</t>
  </si>
  <si>
    <t xml:space="preserve">                                                                    </t>
  </si>
  <si>
    <t>Springdale Menn bake sale</t>
  </si>
  <si>
    <t>Applebutter sold at Gift &amp; Thrift</t>
  </si>
  <si>
    <t>Applebutter</t>
  </si>
  <si>
    <t>BBQ Chicken</t>
  </si>
  <si>
    <t>Bread</t>
  </si>
  <si>
    <t>Breakfast</t>
  </si>
  <si>
    <t>Brunswick Stew</t>
  </si>
  <si>
    <t>Catfish meal</t>
  </si>
  <si>
    <t>Chicken Corn Soup</t>
  </si>
  <si>
    <r>
      <t xml:space="preserve">Cookies, </t>
    </r>
    <r>
      <rPr>
        <i/>
        <sz val="8"/>
        <rFont val="Cambria"/>
        <family val="1"/>
      </rPr>
      <t>Cakes,</t>
    </r>
    <r>
      <rPr>
        <i/>
        <sz val="12"/>
        <rFont val="Cambria"/>
        <family val="1"/>
      </rPr>
      <t xml:space="preserve"> </t>
    </r>
    <r>
      <rPr>
        <i/>
        <sz val="9"/>
        <rFont val="Cambria"/>
        <family val="1"/>
      </rPr>
      <t>Candy</t>
    </r>
  </si>
  <si>
    <t>Chili</t>
  </si>
  <si>
    <t>Donuts</t>
  </si>
  <si>
    <t>Drinks</t>
  </si>
  <si>
    <t>Friday Supper</t>
  </si>
  <si>
    <t>Funnel Cakes</t>
  </si>
  <si>
    <t>Hamburger, Hotdogs</t>
  </si>
  <si>
    <t>Ice Cream</t>
  </si>
  <si>
    <t>Indian Food</t>
  </si>
  <si>
    <t>Kettle Corn</t>
  </si>
  <si>
    <t>Laotian Egg Rolls</t>
  </si>
  <si>
    <t>Mexican Soup</t>
  </si>
  <si>
    <t>Misc. return to Food Lion</t>
  </si>
  <si>
    <t>Pies</t>
  </si>
  <si>
    <t>Pies, Strawberry</t>
  </si>
  <si>
    <t>Pinchos</t>
  </si>
  <si>
    <t>Plate Lunch</t>
  </si>
  <si>
    <t>Potato Bar</t>
  </si>
  <si>
    <t>Potato Chips</t>
  </si>
  <si>
    <t>Sandwiches &amp; Potato Salad</t>
  </si>
  <si>
    <t>Tamales</t>
  </si>
  <si>
    <t>Tortillas</t>
  </si>
  <si>
    <t>Tea &amp; Lemonade</t>
  </si>
  <si>
    <t>Food Items Total</t>
  </si>
  <si>
    <t xml:space="preserve">                   Sewing,Wood &amp; Art items</t>
  </si>
  <si>
    <t xml:space="preserve">          Profit</t>
  </si>
  <si>
    <t>Ten Thousand Villages</t>
  </si>
  <si>
    <t>Country Corner</t>
  </si>
  <si>
    <t>Kiddie Corner</t>
  </si>
  <si>
    <t>Main Auction</t>
  </si>
  <si>
    <t>Plants</t>
  </si>
  <si>
    <t>.</t>
  </si>
  <si>
    <t>Rockingham &amp; Augusta Project</t>
  </si>
  <si>
    <t>Relief Sale towels</t>
  </si>
  <si>
    <t>Barrel Train</t>
  </si>
  <si>
    <t xml:space="preserve">                                Produce, Cheese and Meat items</t>
  </si>
  <si>
    <t>Apples &amp; Cider &amp; Produce</t>
  </si>
  <si>
    <t>Cheese &amp; Bologna</t>
  </si>
  <si>
    <t>Produce &amp; Can Goods</t>
  </si>
  <si>
    <t>Pumpkins</t>
  </si>
  <si>
    <t>Wenger Grapes</t>
  </si>
  <si>
    <t>Produce Total</t>
  </si>
  <si>
    <t>Miscellaneous</t>
  </si>
  <si>
    <t>profit</t>
  </si>
  <si>
    <t xml:space="preserve">  Profit</t>
  </si>
  <si>
    <t>5 K Run</t>
  </si>
  <si>
    <t>50th Anniversary Book</t>
  </si>
  <si>
    <t>Ad Sponsor Income</t>
  </si>
  <si>
    <t>R V Parking</t>
  </si>
  <si>
    <t>Children's Activities</t>
  </si>
  <si>
    <t>Dividend</t>
  </si>
  <si>
    <t>Dime toss</t>
  </si>
  <si>
    <t>Donations</t>
  </si>
  <si>
    <t>WoodSurgery by Dr. D</t>
  </si>
  <si>
    <t>Mutual Aid Exchange</t>
  </si>
  <si>
    <t>My Neighbor &amp; Me</t>
  </si>
  <si>
    <t>My Coins Count</t>
  </si>
  <si>
    <t>Reserved Seats</t>
  </si>
  <si>
    <t>Skeet  Shoot</t>
  </si>
  <si>
    <t>Misc.</t>
  </si>
  <si>
    <t>Walking Roots Band</t>
  </si>
  <si>
    <t>Share our Surplus</t>
  </si>
  <si>
    <t>Miscelleous Total</t>
  </si>
  <si>
    <t xml:space="preserve"> Grand Total</t>
  </si>
  <si>
    <t xml:space="preserve">    </t>
  </si>
  <si>
    <t>,</t>
  </si>
  <si>
    <t>Professional Fees</t>
  </si>
  <si>
    <t>Internet</t>
  </si>
  <si>
    <t>Mennonite Central Committee</t>
  </si>
  <si>
    <t>Previously sent to Va. Mennonite Missions</t>
  </si>
  <si>
    <t>Total Professional Fees</t>
  </si>
  <si>
    <t>Trailer purchase</t>
  </si>
  <si>
    <t xml:space="preserve">                                                       Virginia Mennonite Relief Sale  Final Report 2022</t>
  </si>
  <si>
    <t xml:space="preserve">   Opening Balance for 2022  </t>
  </si>
  <si>
    <t>2022 OVERVIEW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</si>
</sst>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\$#,##0.00\ ;&quot;($&quot;#,##0.00\)"/>
    <numFmt numFmtId="165" formatCode="#,##0.00;[Red]#,##0.00"/>
  </numFmts>
  <fonts count="12" x14ac:knownFonts="1">
    <font>
      <sz val="10"/>
      <name val="Arial"/>
      <family val="2"/>
    </font>
    <font>
      <sz val="10"/>
      <name val="MS Sans Serif"/>
      <family val="2"/>
    </font>
    <font>
      <i/>
      <sz val="12"/>
      <name val="Cambria"/>
      <family val="1"/>
    </font>
    <font>
      <b/>
      <i/>
      <sz val="12"/>
      <name val="Cambria"/>
      <family val="1"/>
    </font>
    <font>
      <i/>
      <sz val="12"/>
      <color rgb="FF000000"/>
      <name val="Cambria"/>
      <family val="1"/>
    </font>
    <font>
      <u/>
      <sz val="10"/>
      <color theme="10"/>
      <name val="Arial"/>
      <family val="2"/>
    </font>
    <font>
      <i/>
      <u/>
      <sz val="12"/>
      <color theme="10"/>
      <name val="Cambria"/>
      <family val="1"/>
    </font>
    <font>
      <b/>
      <i/>
      <sz val="14"/>
      <name val="Cambria"/>
      <family val="1"/>
    </font>
    <font>
      <i/>
      <sz val="8"/>
      <name val="Cambria"/>
      <family val="1"/>
    </font>
    <font>
      <i/>
      <sz val="9"/>
      <name val="Cambria"/>
      <family val="1"/>
    </font>
    <font>
      <i/>
      <sz val="11"/>
      <name val="Cambria"/>
      <family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4" fontId="1" fillId="0" borderId="0">
      <alignment vertical="top"/>
    </xf>
    <xf numFmtId="0" fontId="1" fillId="0" borderId="0">
      <alignment vertical="top"/>
    </xf>
    <xf numFmtId="164" fontId="1" fillId="0" borderId="0">
      <alignment vertical="top"/>
    </xf>
    <xf numFmtId="0" fontId="5" fillId="0" borderId="0" applyNumberFormat="0" applyFill="0" applyBorder="0" applyAlignment="0" applyProtection="0"/>
    <xf numFmtId="3" fontId="1" fillId="0" borderId="0">
      <alignment vertical="top"/>
    </xf>
    <xf numFmtId="43" fontId="11" fillId="0" borderId="0" applyFont="0" applyFill="0" applyBorder="0" applyAlignment="0" applyProtection="0"/>
  </cellStyleXfs>
  <cellXfs count="92">
    <xf numFmtId="0" fontId="0" fillId="0" borderId="0" xfId="0"/>
    <xf numFmtId="40" fontId="2" fillId="0" borderId="0" xfId="1" applyNumberFormat="1" applyFont="1" applyAlignment="1">
      <alignment horizontal="center"/>
    </xf>
    <xf numFmtId="40" fontId="2" fillId="2" borderId="0" xfId="1" applyNumberFormat="1" applyFont="1" applyFill="1" applyAlignment="1">
      <alignment horizontal="center"/>
    </xf>
    <xf numFmtId="40" fontId="2" fillId="0" borderId="0" xfId="1" applyNumberFormat="1" applyFont="1" applyAlignment="1"/>
    <xf numFmtId="40" fontId="2" fillId="2" borderId="0" xfId="1" applyNumberFormat="1" applyFont="1" applyFill="1" applyAlignment="1"/>
    <xf numFmtId="40" fontId="3" fillId="0" borderId="0" xfId="1" applyNumberFormat="1" applyFont="1" applyAlignment="1"/>
    <xf numFmtId="40" fontId="2" fillId="2" borderId="0" xfId="1" applyNumberFormat="1" applyFont="1" applyFill="1" applyAlignment="1">
      <alignment horizontal="right"/>
    </xf>
    <xf numFmtId="43" fontId="2" fillId="0" borderId="0" xfId="1" applyNumberFormat="1" applyFont="1" applyAlignment="1"/>
    <xf numFmtId="0" fontId="2" fillId="0" borderId="0" xfId="0" applyFont="1"/>
    <xf numFmtId="43" fontId="4" fillId="0" borderId="0" xfId="3" applyNumberFormat="1" applyFont="1" applyAlignment="1"/>
    <xf numFmtId="40" fontId="6" fillId="0" borderId="0" xfId="4" applyNumberFormat="1" applyFont="1" applyFill="1" applyBorder="1" applyAlignment="1" applyProtection="1"/>
    <xf numFmtId="44" fontId="6" fillId="0" borderId="0" xfId="4" applyNumberFormat="1" applyFont="1" applyFill="1" applyBorder="1" applyAlignment="1" applyProtection="1">
      <protection locked="0"/>
    </xf>
    <xf numFmtId="40" fontId="3" fillId="2" borderId="0" xfId="1" applyNumberFormat="1" applyFont="1" applyFill="1" applyAlignment="1"/>
    <xf numFmtId="44" fontId="2" fillId="0" borderId="0" xfId="1" applyNumberFormat="1" applyFont="1" applyAlignment="1"/>
    <xf numFmtId="40" fontId="2" fillId="0" borderId="0" xfId="1" applyNumberFormat="1" applyFont="1" applyAlignment="1">
      <alignment horizontal="right"/>
    </xf>
    <xf numFmtId="43" fontId="2" fillId="0" borderId="0" xfId="0" applyNumberFormat="1" applyFont="1" applyAlignment="1">
      <alignment horizontal="right"/>
    </xf>
    <xf numFmtId="0" fontId="3" fillId="0" borderId="0" xfId="0" applyFont="1"/>
    <xf numFmtId="40" fontId="3" fillId="2" borderId="0" xfId="1" applyNumberFormat="1" applyFont="1" applyFill="1">
      <alignment vertical="top"/>
    </xf>
    <xf numFmtId="40" fontId="6" fillId="0" borderId="0" xfId="4" applyNumberFormat="1" applyFont="1" applyFill="1" applyBorder="1" applyAlignment="1" applyProtection="1">
      <alignment vertical="top"/>
    </xf>
    <xf numFmtId="43" fontId="2" fillId="0" borderId="0" xfId="1" applyNumberFormat="1" applyFont="1" applyAlignment="1">
      <alignment horizontal="right" vertical="top"/>
    </xf>
    <xf numFmtId="40" fontId="2" fillId="2" borderId="0" xfId="1" applyNumberFormat="1" applyFont="1" applyFill="1">
      <alignment vertical="top"/>
    </xf>
    <xf numFmtId="43" fontId="7" fillId="0" borderId="0" xfId="1" applyNumberFormat="1" applyFont="1" applyAlignment="1">
      <alignment horizontal="right"/>
    </xf>
    <xf numFmtId="43" fontId="2" fillId="0" borderId="0" xfId="1" applyNumberFormat="1" applyFont="1" applyAlignment="1">
      <alignment horizontal="center"/>
    </xf>
    <xf numFmtId="165" fontId="2" fillId="2" borderId="0" xfId="1" applyNumberFormat="1" applyFont="1" applyFill="1" applyAlignment="1"/>
    <xf numFmtId="165" fontId="2" fillId="0" borderId="0" xfId="1" applyNumberFormat="1" applyFont="1" applyAlignment="1"/>
    <xf numFmtId="40" fontId="2" fillId="2" borderId="1" xfId="1" applyNumberFormat="1" applyFont="1" applyFill="1" applyBorder="1" applyAlignment="1"/>
    <xf numFmtId="40" fontId="2" fillId="0" borderId="1" xfId="1" applyNumberFormat="1" applyFont="1" applyBorder="1" applyAlignment="1"/>
    <xf numFmtId="43" fontId="2" fillId="0" borderId="1" xfId="1" applyNumberFormat="1" applyFont="1" applyBorder="1" applyAlignment="1"/>
    <xf numFmtId="165" fontId="3" fillId="0" borderId="0" xfId="1" applyNumberFormat="1" applyFont="1" applyAlignment="1">
      <alignment horizontal="center"/>
    </xf>
    <xf numFmtId="165" fontId="2" fillId="0" borderId="0" xfId="1" applyNumberFormat="1" applyFont="1" applyAlignment="1">
      <alignment horizontal="center"/>
    </xf>
    <xf numFmtId="165" fontId="3" fillId="2" borderId="0" xfId="1" applyNumberFormat="1" applyFont="1" applyFill="1" applyAlignment="1"/>
    <xf numFmtId="165" fontId="2" fillId="0" borderId="1" xfId="1" applyNumberFormat="1" applyFont="1" applyBorder="1" applyAlignment="1"/>
    <xf numFmtId="165" fontId="2" fillId="0" borderId="0" xfId="0" applyNumberFormat="1" applyFont="1"/>
    <xf numFmtId="165" fontId="2" fillId="0" borderId="2" xfId="1" applyNumberFormat="1" applyFont="1" applyBorder="1" applyAlignment="1"/>
    <xf numFmtId="165" fontId="3" fillId="0" borderId="0" xfId="1" applyNumberFormat="1" applyFont="1" applyAlignment="1"/>
    <xf numFmtId="40" fontId="2" fillId="0" borderId="2" xfId="1" applyNumberFormat="1" applyFont="1" applyBorder="1" applyAlignment="1"/>
    <xf numFmtId="165" fontId="2" fillId="0" borderId="3" xfId="1" applyNumberFormat="1" applyFont="1" applyBorder="1" applyAlignment="1"/>
    <xf numFmtId="165" fontId="2" fillId="2" borderId="1" xfId="1" applyNumberFormat="1" applyFont="1" applyFill="1" applyBorder="1" applyAlignment="1"/>
    <xf numFmtId="165" fontId="2" fillId="2" borderId="2" xfId="1" applyNumberFormat="1" applyFont="1" applyFill="1" applyBorder="1" applyAlignment="1"/>
    <xf numFmtId="165" fontId="2" fillId="2" borderId="3" xfId="1" applyNumberFormat="1" applyFont="1" applyFill="1" applyBorder="1" applyAlignment="1"/>
    <xf numFmtId="165" fontId="2" fillId="2" borderId="0" xfId="1" applyNumberFormat="1" applyFont="1" applyFill="1" applyAlignment="1">
      <alignment horizontal="left" indent="8"/>
    </xf>
    <xf numFmtId="165" fontId="3" fillId="2" borderId="0" xfId="1" applyNumberFormat="1" applyFont="1" applyFill="1" applyAlignment="1">
      <alignment horizontal="left" indent="8"/>
    </xf>
    <xf numFmtId="40" fontId="2" fillId="0" borderId="0" xfId="0" applyNumberFormat="1" applyFont="1"/>
    <xf numFmtId="40" fontId="2" fillId="2" borderId="0" xfId="2" applyNumberFormat="1" applyFont="1" applyFill="1" applyAlignment="1"/>
    <xf numFmtId="40" fontId="2" fillId="3" borderId="0" xfId="1" applyNumberFormat="1" applyFont="1" applyFill="1" applyAlignment="1"/>
    <xf numFmtId="40" fontId="2" fillId="3" borderId="0" xfId="1" applyNumberFormat="1" applyFont="1" applyFill="1" applyAlignment="1">
      <alignment horizontal="center"/>
    </xf>
    <xf numFmtId="0" fontId="2" fillId="2" borderId="0" xfId="1" applyNumberFormat="1" applyFont="1" applyFill="1" applyAlignment="1">
      <alignment horizontal="center"/>
    </xf>
    <xf numFmtId="0" fontId="2" fillId="0" borderId="0" xfId="1" applyNumberFormat="1" applyFont="1" applyAlignment="1">
      <alignment horizontal="center"/>
    </xf>
    <xf numFmtId="0" fontId="4" fillId="0" borderId="0" xfId="1" applyNumberFormat="1" applyFont="1" applyAlignment="1">
      <alignment horizontal="center"/>
    </xf>
    <xf numFmtId="0" fontId="2" fillId="0" borderId="0" xfId="2" applyFont="1" applyAlignment="1">
      <alignment horizontal="center"/>
    </xf>
    <xf numFmtId="40" fontId="2" fillId="2" borderId="1" xfId="1" applyNumberFormat="1" applyFont="1" applyFill="1" applyBorder="1" applyAlignment="1">
      <alignment horizontal="center"/>
    </xf>
    <xf numFmtId="40" fontId="2" fillId="0" borderId="1" xfId="1" applyNumberFormat="1" applyFont="1" applyBorder="1" applyAlignment="1">
      <alignment horizontal="center"/>
    </xf>
    <xf numFmtId="0" fontId="2" fillId="0" borderId="1" xfId="1" applyNumberFormat="1" applyFont="1" applyBorder="1" applyAlignment="1">
      <alignment horizontal="center"/>
    </xf>
    <xf numFmtId="40" fontId="4" fillId="0" borderId="1" xfId="1" applyNumberFormat="1" applyFont="1" applyBorder="1" applyAlignment="1">
      <alignment horizontal="center"/>
    </xf>
    <xf numFmtId="40" fontId="2" fillId="0" borderId="4" xfId="1" applyNumberFormat="1" applyFont="1" applyBorder="1" applyAlignment="1">
      <alignment horizontal="center"/>
    </xf>
    <xf numFmtId="40" fontId="2" fillId="0" borderId="0" xfId="1" applyNumberFormat="1" applyFont="1" applyAlignment="1">
      <alignment horizontal="center" wrapText="1"/>
    </xf>
    <xf numFmtId="40" fontId="4" fillId="0" borderId="0" xfId="1" applyNumberFormat="1" applyFont="1" applyAlignment="1">
      <alignment horizontal="center"/>
    </xf>
    <xf numFmtId="40" fontId="2" fillId="0" borderId="0" xfId="1" applyNumberFormat="1" applyFont="1" applyAlignment="1">
      <alignment wrapText="1"/>
    </xf>
    <xf numFmtId="40" fontId="4" fillId="0" borderId="0" xfId="1" applyNumberFormat="1" applyFont="1" applyAlignment="1"/>
    <xf numFmtId="40" fontId="2" fillId="0" borderId="0" xfId="1" applyNumberFormat="1" applyFont="1" applyAlignment="1">
      <alignment shrinkToFit="1"/>
    </xf>
    <xf numFmtId="165" fontId="2" fillId="2" borderId="0" xfId="1" applyNumberFormat="1" applyFont="1" applyFill="1" applyAlignment="1">
      <alignment horizontal="right"/>
    </xf>
    <xf numFmtId="40" fontId="10" fillId="0" borderId="0" xfId="1" applyNumberFormat="1" applyFont="1" applyAlignment="1"/>
    <xf numFmtId="165" fontId="2" fillId="2" borderId="5" xfId="1" applyNumberFormat="1" applyFont="1" applyFill="1" applyBorder="1" applyAlignment="1"/>
    <xf numFmtId="165" fontId="2" fillId="0" borderId="5" xfId="0" applyNumberFormat="1" applyFont="1" applyBorder="1"/>
    <xf numFmtId="165" fontId="2" fillId="0" borderId="5" xfId="1" applyNumberFormat="1" applyFont="1" applyBorder="1" applyAlignment="1"/>
    <xf numFmtId="40" fontId="2" fillId="0" borderId="5" xfId="1" applyNumberFormat="1" applyFont="1" applyBorder="1" applyAlignment="1"/>
    <xf numFmtId="40" fontId="4" fillId="0" borderId="5" xfId="1" applyNumberFormat="1" applyFont="1" applyBorder="1" applyAlignment="1"/>
    <xf numFmtId="40" fontId="2" fillId="0" borderId="5" xfId="0" applyNumberFormat="1" applyFont="1" applyBorder="1"/>
    <xf numFmtId="165" fontId="2" fillId="0" borderId="6" xfId="1" applyNumberFormat="1" applyFont="1" applyBorder="1" applyAlignment="1"/>
    <xf numFmtId="0" fontId="2" fillId="0" borderId="0" xfId="1" applyNumberFormat="1" applyFont="1" applyAlignment="1"/>
    <xf numFmtId="165" fontId="2" fillId="2" borderId="4" xfId="1" applyNumberFormat="1" applyFont="1" applyFill="1" applyBorder="1" applyAlignment="1">
      <alignment horizontal="center"/>
    </xf>
    <xf numFmtId="165" fontId="2" fillId="0" borderId="4" xfId="1" applyNumberFormat="1" applyFont="1" applyBorder="1" applyAlignment="1">
      <alignment horizontal="center"/>
    </xf>
    <xf numFmtId="165" fontId="2" fillId="0" borderId="1" xfId="1" applyNumberFormat="1" applyFont="1" applyBorder="1" applyAlignment="1">
      <alignment horizontal="center"/>
    </xf>
    <xf numFmtId="40" fontId="2" fillId="0" borderId="6" xfId="1" applyNumberFormat="1" applyFont="1" applyBorder="1" applyAlignment="1"/>
    <xf numFmtId="165" fontId="2" fillId="2" borderId="0" xfId="1" applyNumberFormat="1" applyFont="1" applyFill="1" applyAlignment="1">
      <alignment horizontal="center"/>
    </xf>
    <xf numFmtId="0" fontId="2" fillId="0" borderId="0" xfId="5" applyNumberFormat="1" applyFont="1" applyAlignment="1">
      <alignment horizontal="center"/>
    </xf>
    <xf numFmtId="40" fontId="3" fillId="0" borderId="0" xfId="2" applyNumberFormat="1" applyFont="1" applyAlignment="1">
      <alignment horizontal="center"/>
    </xf>
    <xf numFmtId="165" fontId="2" fillId="0" borderId="7" xfId="1" applyNumberFormat="1" applyFont="1" applyBorder="1" applyAlignment="1">
      <alignment horizontal="center"/>
    </xf>
    <xf numFmtId="43" fontId="2" fillId="0" borderId="0" xfId="6" applyFont="1" applyAlignment="1">
      <alignment horizontal="right"/>
    </xf>
    <xf numFmtId="43" fontId="2" fillId="0" borderId="0" xfId="6" applyFont="1" applyAlignment="1">
      <alignment horizontal="center"/>
    </xf>
    <xf numFmtId="43" fontId="2" fillId="0" borderId="0" xfId="6" applyFont="1" applyAlignment="1"/>
    <xf numFmtId="43" fontId="2" fillId="0" borderId="5" xfId="6" applyFont="1" applyBorder="1" applyAlignment="1"/>
    <xf numFmtId="43" fontId="2" fillId="0" borderId="0" xfId="6" quotePrefix="1" applyFont="1" applyAlignment="1"/>
    <xf numFmtId="43" fontId="2" fillId="2" borderId="0" xfId="6" applyFont="1" applyFill="1" applyAlignment="1"/>
    <xf numFmtId="43" fontId="4" fillId="0" borderId="0" xfId="6" applyFont="1" applyAlignment="1"/>
    <xf numFmtId="43" fontId="2" fillId="0" borderId="0" xfId="6" applyFont="1"/>
    <xf numFmtId="43" fontId="2" fillId="2" borderId="5" xfId="6" applyFont="1" applyFill="1" applyBorder="1" applyAlignment="1"/>
    <xf numFmtId="43" fontId="2" fillId="0" borderId="5" xfId="6" applyFont="1" applyBorder="1"/>
    <xf numFmtId="43" fontId="4" fillId="0" borderId="5" xfId="6" applyFont="1" applyBorder="1" applyAlignment="1"/>
    <xf numFmtId="43" fontId="2" fillId="2" borderId="0" xfId="6" applyFont="1" applyFill="1"/>
    <xf numFmtId="165" fontId="3" fillId="0" borderId="0" xfId="1" applyNumberFormat="1" applyFont="1" applyFill="1" applyAlignment="1"/>
    <xf numFmtId="43" fontId="2" fillId="0" borderId="0" xfId="0" applyNumberFormat="1" applyFont="1"/>
  </cellXfs>
  <cellStyles count="7">
    <cellStyle name="Comma" xfId="6" builtinId="3"/>
    <cellStyle name="Comma0" xfId="5"/>
    <cellStyle name="Excel Built-in Comma" xfId="1"/>
    <cellStyle name="Excel Built-in Currency" xfId="3"/>
    <cellStyle name="Excel Built-in Normal" xfId="2"/>
    <cellStyle name="Hyperlink" xfId="4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255028</xdr:colOff>
      <xdr:row>0</xdr:row>
      <xdr:rowOff>166368</xdr:rowOff>
    </xdr:from>
    <xdr:to>
      <xdr:col>9</xdr:col>
      <xdr:colOff>437459</xdr:colOff>
      <xdr:row>6</xdr:row>
      <xdr:rowOff>182768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52D9AFBD-51C9-4D05-B1E8-E1A8999A29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91728" y="166368"/>
          <a:ext cx="7862148" cy="11594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oneCellAnchor>
    <xdr:from>
      <xdr:col>3</xdr:col>
      <xdr:colOff>0</xdr:colOff>
      <xdr:row>39</xdr:row>
      <xdr:rowOff>0</xdr:rowOff>
    </xdr:from>
    <xdr:ext cx="1107012" cy="117462"/>
    <xdr:sp macro="" textlink="">
      <xdr:nvSpPr>
        <xdr:cNvPr id="3" name="TextBox 2">
          <a:extLst>
            <a:ext uri="{FF2B5EF4-FFF2-40B4-BE49-F238E27FC236}">
              <a16:creationId xmlns="" xmlns:a16="http://schemas.microsoft.com/office/drawing/2014/main" id="{D10BADD0-A4BC-438A-AA33-602C2AED5B86}"/>
            </a:ext>
          </a:extLst>
        </xdr:cNvPr>
        <xdr:cNvSpPr txBox="1"/>
      </xdr:nvSpPr>
      <xdr:spPr>
        <a:xfrm rot="2088588">
          <a:off x="3079750" y="6915150"/>
          <a:ext cx="1107012" cy="11746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en-US" sz="1600" b="0">
            <a:latin typeface="Tekton Pro Cond" pitchFamily="34" charset="0"/>
          </a:endParaRPr>
        </a:p>
      </xdr:txBody>
    </xdr:sp>
    <xdr:clientData/>
  </xdr:oneCellAnchor>
  <xdr:oneCellAnchor>
    <xdr:from>
      <xdr:col>6</xdr:col>
      <xdr:colOff>950423</xdr:colOff>
      <xdr:row>119</xdr:row>
      <xdr:rowOff>75223</xdr:rowOff>
    </xdr:from>
    <xdr:ext cx="45719" cy="264560"/>
    <xdr:sp macro="" textlink="">
      <xdr:nvSpPr>
        <xdr:cNvPr id="4" name="TextBox 3">
          <a:extLst>
            <a:ext uri="{FF2B5EF4-FFF2-40B4-BE49-F238E27FC236}">
              <a16:creationId xmlns="" xmlns:a16="http://schemas.microsoft.com/office/drawing/2014/main" id="{63B55322-E10D-489C-9F8D-B3357DC82A81}"/>
            </a:ext>
          </a:extLst>
        </xdr:cNvPr>
        <xdr:cNvSpPr txBox="1"/>
      </xdr:nvSpPr>
      <xdr:spPr>
        <a:xfrm flipH="1">
          <a:off x="6874973" y="26726173"/>
          <a:ext cx="4571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 b="1" i="1" baseline="0"/>
            <a:t>  </a:t>
          </a:r>
          <a:endParaRPr lang="en-US" sz="1400" b="1" i="1"/>
        </a:p>
      </xdr:txBody>
    </xdr:sp>
    <xdr:clientData/>
  </xdr:oneCellAnchor>
  <xdr:oneCellAnchor>
    <xdr:from>
      <xdr:col>7</xdr:col>
      <xdr:colOff>128221</xdr:colOff>
      <xdr:row>18</xdr:row>
      <xdr:rowOff>137380</xdr:rowOff>
    </xdr:from>
    <xdr:ext cx="184731" cy="264560"/>
    <xdr:sp macro="" textlink="">
      <xdr:nvSpPr>
        <xdr:cNvPr id="5" name="TextBox 4">
          <a:extLst>
            <a:ext uri="{FF2B5EF4-FFF2-40B4-BE49-F238E27FC236}">
              <a16:creationId xmlns="" xmlns:a16="http://schemas.microsoft.com/office/drawing/2014/main" id="{E8626344-0BB4-4E66-8946-0B4BF8F23522}"/>
            </a:ext>
          </a:extLst>
        </xdr:cNvPr>
        <xdr:cNvSpPr txBox="1"/>
      </xdr:nvSpPr>
      <xdr:spPr>
        <a:xfrm>
          <a:off x="7037021" y="37822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190015</xdr:colOff>
      <xdr:row>17</xdr:row>
      <xdr:rowOff>0</xdr:rowOff>
    </xdr:from>
    <xdr:ext cx="1498203" cy="147525"/>
    <xdr:sp macro="" textlink="">
      <xdr:nvSpPr>
        <xdr:cNvPr id="6" name="TextBox 5">
          <a:extLst>
            <a:ext uri="{FF2B5EF4-FFF2-40B4-BE49-F238E27FC236}">
              <a16:creationId xmlns="" xmlns:a16="http://schemas.microsoft.com/office/drawing/2014/main" id="{CDBDFFCF-D64B-40D7-93BD-3DBF11E956F6}"/>
            </a:ext>
          </a:extLst>
        </xdr:cNvPr>
        <xdr:cNvSpPr txBox="1"/>
      </xdr:nvSpPr>
      <xdr:spPr>
        <a:xfrm>
          <a:off x="190015" y="3238500"/>
          <a:ext cx="1498203" cy="1475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400"/>
            <a:t>                     	                             </a:t>
          </a:r>
        </a:p>
      </xdr:txBody>
    </xdr:sp>
    <xdr:clientData/>
  </xdr:oneCellAnchor>
  <xdr:oneCellAnchor>
    <xdr:from>
      <xdr:col>0</xdr:col>
      <xdr:colOff>1309688</xdr:colOff>
      <xdr:row>13</xdr:row>
      <xdr:rowOff>17554</xdr:rowOff>
    </xdr:from>
    <xdr:ext cx="178593" cy="264560"/>
    <xdr:sp macro="" textlink="">
      <xdr:nvSpPr>
        <xdr:cNvPr id="7" name="TextBox 6">
          <a:extLst>
            <a:ext uri="{FF2B5EF4-FFF2-40B4-BE49-F238E27FC236}">
              <a16:creationId xmlns="" xmlns:a16="http://schemas.microsoft.com/office/drawing/2014/main" id="{36480E44-8F0A-41A7-AADB-55EA55110E75}"/>
            </a:ext>
          </a:extLst>
        </xdr:cNvPr>
        <xdr:cNvSpPr txBox="1"/>
      </xdr:nvSpPr>
      <xdr:spPr>
        <a:xfrm>
          <a:off x="1309688" y="2303554"/>
          <a:ext cx="17859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438150</xdr:colOff>
      <xdr:row>14</xdr:row>
      <xdr:rowOff>0</xdr:rowOff>
    </xdr:from>
    <xdr:ext cx="196850" cy="269173"/>
    <xdr:sp macro="" textlink="">
      <xdr:nvSpPr>
        <xdr:cNvPr id="8" name="TextBox 7">
          <a:extLst>
            <a:ext uri="{FF2B5EF4-FFF2-40B4-BE49-F238E27FC236}">
              <a16:creationId xmlns="" xmlns:a16="http://schemas.microsoft.com/office/drawing/2014/main" id="{A130E5F9-D213-4962-B972-2302CD61A433}"/>
            </a:ext>
          </a:extLst>
        </xdr:cNvPr>
        <xdr:cNvSpPr txBox="1"/>
      </xdr:nvSpPr>
      <xdr:spPr>
        <a:xfrm>
          <a:off x="5486400" y="2476500"/>
          <a:ext cx="196850" cy="2691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400"/>
        </a:p>
      </xdr:txBody>
    </xdr:sp>
    <xdr:clientData/>
  </xdr:oneCellAnchor>
  <xdr:oneCellAnchor>
    <xdr:from>
      <xdr:col>0</xdr:col>
      <xdr:colOff>428544</xdr:colOff>
      <xdr:row>8</xdr:row>
      <xdr:rowOff>20312</xdr:rowOff>
    </xdr:from>
    <xdr:ext cx="690686" cy="264560"/>
    <xdr:sp macro="" textlink="">
      <xdr:nvSpPr>
        <xdr:cNvPr id="9" name="TextBox 8">
          <a:extLst>
            <a:ext uri="{FF2B5EF4-FFF2-40B4-BE49-F238E27FC236}">
              <a16:creationId xmlns="" xmlns:a16="http://schemas.microsoft.com/office/drawing/2014/main" id="{F843C47D-5835-4852-8566-C90DC2C1C2D6}"/>
            </a:ext>
          </a:extLst>
        </xdr:cNvPr>
        <xdr:cNvSpPr txBox="1"/>
      </xdr:nvSpPr>
      <xdr:spPr>
        <a:xfrm rot="319552">
          <a:off x="428544" y="1373138"/>
          <a:ext cx="69068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170"/>
  <sheetViews>
    <sheetView showGridLines="0" tabSelected="1" zoomScale="94" zoomScaleNormal="100" zoomScalePageLayoutView="35" workbookViewId="0">
      <selection activeCell="B9" sqref="B9"/>
    </sheetView>
  </sheetViews>
  <sheetFormatPr defaultColWidth="14.140625" defaultRowHeight="15.75" x14ac:dyDescent="0.25"/>
  <cols>
    <col min="1" max="1" width="22" style="3" customWidth="1"/>
    <col min="2" max="2" width="19.28515625" style="4" customWidth="1"/>
    <col min="3" max="3" width="2.85546875" style="4" customWidth="1"/>
    <col min="4" max="4" width="13.7109375" style="3" customWidth="1"/>
    <col min="5" max="9" width="14.85546875" style="3" customWidth="1"/>
    <col min="10" max="10" width="18.42578125" style="3" bestFit="1" customWidth="1"/>
    <col min="11" max="11" width="14.85546875" style="3" customWidth="1"/>
    <col min="12" max="12" width="14.85546875" style="8" customWidth="1"/>
    <col min="13" max="24" width="14.85546875" style="3" customWidth="1"/>
    <col min="25" max="16384" width="14.140625" style="3"/>
  </cols>
  <sheetData>
    <row r="1" spans="1:12" x14ac:dyDescent="0.25">
      <c r="A1" s="1"/>
      <c r="B1" s="2"/>
      <c r="C1" s="2"/>
      <c r="D1" s="1"/>
      <c r="E1" s="1"/>
      <c r="L1" s="3"/>
    </row>
    <row r="2" spans="1:12" x14ac:dyDescent="0.25">
      <c r="A2" s="1"/>
      <c r="B2" s="2"/>
      <c r="C2" s="2"/>
      <c r="D2" s="1"/>
      <c r="E2" s="1"/>
      <c r="L2" s="3"/>
    </row>
    <row r="3" spans="1:12" x14ac:dyDescent="0.25">
      <c r="A3" s="1"/>
      <c r="B3" s="2"/>
      <c r="C3" s="2"/>
      <c r="D3" s="1"/>
      <c r="E3" s="1"/>
      <c r="L3" s="3"/>
    </row>
    <row r="4" spans="1:12" x14ac:dyDescent="0.25">
      <c r="A4" s="1"/>
      <c r="B4" s="2"/>
      <c r="C4" s="2"/>
      <c r="D4" s="1"/>
      <c r="E4" s="1"/>
      <c r="L4" s="3"/>
    </row>
    <row r="5" spans="1:12" x14ac:dyDescent="0.25">
      <c r="A5" s="1"/>
      <c r="B5" s="2"/>
      <c r="C5" s="2"/>
      <c r="D5" s="1"/>
      <c r="E5" s="1"/>
      <c r="L5" s="3"/>
    </row>
    <row r="6" spans="1:12" x14ac:dyDescent="0.25">
      <c r="A6" s="1"/>
      <c r="B6" s="2"/>
      <c r="C6" s="2"/>
      <c r="D6" s="1"/>
      <c r="E6" s="1"/>
      <c r="L6" s="3"/>
    </row>
    <row r="7" spans="1:12" x14ac:dyDescent="0.25">
      <c r="A7" s="1"/>
      <c r="B7" s="2"/>
      <c r="C7" s="2"/>
      <c r="D7" s="1"/>
      <c r="E7" s="1"/>
      <c r="L7" s="3"/>
    </row>
    <row r="8" spans="1:12" x14ac:dyDescent="0.25">
      <c r="A8" s="1"/>
      <c r="B8" s="2"/>
      <c r="C8" s="2"/>
      <c r="D8" s="1"/>
      <c r="E8" s="1"/>
      <c r="L8" s="3"/>
    </row>
    <row r="9" spans="1:12" x14ac:dyDescent="0.25">
      <c r="B9" s="76" t="s">
        <v>144</v>
      </c>
      <c r="D9" s="1"/>
      <c r="E9" s="1"/>
      <c r="F9" s="5" t="s">
        <v>0</v>
      </c>
      <c r="G9" s="5"/>
      <c r="I9" s="6" t="s">
        <v>1</v>
      </c>
      <c r="J9" s="7">
        <v>5.53</v>
      </c>
    </row>
    <row r="10" spans="1:12" x14ac:dyDescent="0.25">
      <c r="E10" s="4"/>
      <c r="H10" s="4" t="s">
        <v>145</v>
      </c>
      <c r="J10" s="9">
        <f>12744.57+0.25</f>
        <v>12744.82</v>
      </c>
      <c r="K10" s="8"/>
    </row>
    <row r="11" spans="1:12" x14ac:dyDescent="0.25">
      <c r="B11" s="5"/>
      <c r="E11" s="10"/>
      <c r="F11" s="11"/>
      <c r="G11" s="11"/>
      <c r="H11" s="10"/>
      <c r="I11" s="6" t="s">
        <v>2</v>
      </c>
      <c r="J11" s="7">
        <f>F38</f>
        <v>430311.06</v>
      </c>
      <c r="L11" s="3"/>
    </row>
    <row r="12" spans="1:12" x14ac:dyDescent="0.25">
      <c r="B12" s="5"/>
      <c r="E12" s="10"/>
      <c r="F12" s="11"/>
      <c r="G12" s="11"/>
      <c r="H12" s="10"/>
      <c r="I12" s="6" t="s">
        <v>3</v>
      </c>
      <c r="J12" s="7">
        <f>I38</f>
        <v>-99068.829999999987</v>
      </c>
      <c r="L12" s="3"/>
    </row>
    <row r="14" spans="1:12" x14ac:dyDescent="0.25">
      <c r="I14" s="14" t="s">
        <v>5</v>
      </c>
      <c r="J14" s="7">
        <f>J10+J11+J12</f>
        <v>343987.05000000005</v>
      </c>
      <c r="L14" s="3"/>
    </row>
    <row r="15" spans="1:12" x14ac:dyDescent="0.25">
      <c r="B15" s="12" t="s">
        <v>140</v>
      </c>
      <c r="E15" s="3" t="s">
        <v>141</v>
      </c>
      <c r="H15" s="5"/>
      <c r="I15" s="10"/>
      <c r="J15" s="15">
        <f>E152/2</f>
        <v>13028.184999999999</v>
      </c>
    </row>
    <row r="16" spans="1:12" x14ac:dyDescent="0.25">
      <c r="B16" s="12" t="s">
        <v>4</v>
      </c>
      <c r="F16" s="13"/>
      <c r="G16" s="13"/>
      <c r="J16" s="7">
        <v>9648.15</v>
      </c>
      <c r="L16" s="3"/>
    </row>
    <row r="17" spans="1:13" x14ac:dyDescent="0.25">
      <c r="B17" s="12" t="s">
        <v>6</v>
      </c>
      <c r="H17" s="5"/>
      <c r="I17" s="10"/>
      <c r="J17" s="7">
        <v>2192.5300000000002</v>
      </c>
    </row>
    <row r="18" spans="1:13" ht="17.25" customHeight="1" x14ac:dyDescent="0.25">
      <c r="B18" s="16" t="s">
        <v>7</v>
      </c>
      <c r="I18" s="10"/>
      <c r="J18" s="7">
        <v>2192.5300000000002</v>
      </c>
    </row>
    <row r="19" spans="1:13" x14ac:dyDescent="0.25">
      <c r="B19" s="17" t="s">
        <v>8</v>
      </c>
      <c r="I19" s="18"/>
      <c r="J19" s="19">
        <v>250000</v>
      </c>
    </row>
    <row r="20" spans="1:13" x14ac:dyDescent="0.25">
      <c r="B20" s="17"/>
      <c r="I20" s="18"/>
      <c r="J20" s="19">
        <v>16999.759999999998</v>
      </c>
    </row>
    <row r="21" spans="1:13" x14ac:dyDescent="0.25">
      <c r="B21" s="17"/>
      <c r="C21" s="12" t="s">
        <v>9</v>
      </c>
      <c r="H21" s="19">
        <f>E157</f>
        <v>37396.15</v>
      </c>
      <c r="I21" s="18"/>
    </row>
    <row r="22" spans="1:13" x14ac:dyDescent="0.25">
      <c r="B22" s="20" t="s">
        <v>10</v>
      </c>
      <c r="I22" s="18"/>
      <c r="J22" s="19"/>
    </row>
    <row r="23" spans="1:13" x14ac:dyDescent="0.25">
      <c r="B23" s="17"/>
      <c r="I23" s="18"/>
      <c r="J23" s="19"/>
      <c r="L23" s="91"/>
    </row>
    <row r="24" spans="1:13" ht="18" x14ac:dyDescent="0.25">
      <c r="B24" s="3" t="s">
        <v>11</v>
      </c>
      <c r="I24" s="10"/>
      <c r="J24" s="21">
        <f>SUM(J15,J17,J18,J19,H21,J20,J16)</f>
        <v>331457.30500000005</v>
      </c>
      <c r="L24" s="3"/>
    </row>
    <row r="25" spans="1:13" ht="18" x14ac:dyDescent="0.25">
      <c r="B25" s="3"/>
      <c r="I25" s="10"/>
      <c r="J25" s="21"/>
      <c r="L25" s="3"/>
    </row>
    <row r="26" spans="1:13" s="1" customFormat="1" x14ac:dyDescent="0.25">
      <c r="A26" s="3"/>
      <c r="B26" s="3"/>
      <c r="C26" s="4"/>
      <c r="D26" s="4" t="s">
        <v>12</v>
      </c>
      <c r="E26" s="3"/>
      <c r="F26" s="3"/>
      <c r="G26" s="3"/>
      <c r="H26" s="3"/>
      <c r="I26" s="3"/>
      <c r="J26" s="7">
        <f>343987.05-331457.31</f>
        <v>12529.739999999991</v>
      </c>
      <c r="K26" s="3"/>
    </row>
    <row r="27" spans="1:13" s="1" customFormat="1" x14ac:dyDescent="0.25">
      <c r="A27" s="3"/>
      <c r="B27" s="3"/>
      <c r="C27" s="4"/>
      <c r="D27" s="4"/>
      <c r="E27" s="3"/>
      <c r="F27" s="3"/>
      <c r="G27" s="3"/>
      <c r="H27" s="3"/>
      <c r="I27" s="3"/>
      <c r="J27" s="7"/>
      <c r="K27" s="3"/>
    </row>
    <row r="28" spans="1:13" x14ac:dyDescent="0.25">
      <c r="A28" s="1"/>
      <c r="B28" s="4" t="s">
        <v>146</v>
      </c>
      <c r="F28" s="1" t="s">
        <v>13</v>
      </c>
      <c r="G28" s="1"/>
      <c r="H28" s="1"/>
      <c r="I28" s="1" t="s">
        <v>14</v>
      </c>
      <c r="J28" s="22" t="s">
        <v>15</v>
      </c>
      <c r="K28" s="1"/>
      <c r="L28" s="1"/>
      <c r="M28" s="3" t="s">
        <v>16</v>
      </c>
    </row>
    <row r="29" spans="1:13" x14ac:dyDescent="0.25">
      <c r="B29" s="4" t="s">
        <v>17</v>
      </c>
      <c r="F29" s="3">
        <f>B115</f>
        <v>113873.74999999999</v>
      </c>
      <c r="I29" s="3">
        <f>-D115</f>
        <v>-27013.509999999995</v>
      </c>
      <c r="J29" s="7">
        <f>F29+I29</f>
        <v>86860.239999999991</v>
      </c>
      <c r="L29" s="3"/>
    </row>
    <row r="30" spans="1:13" x14ac:dyDescent="0.25">
      <c r="J30" s="7"/>
      <c r="L30" s="3"/>
    </row>
    <row r="31" spans="1:13" x14ac:dyDescent="0.25">
      <c r="B31" s="4" t="s">
        <v>18</v>
      </c>
      <c r="F31" s="3">
        <f>B128</f>
        <v>147222.34999999998</v>
      </c>
      <c r="I31" s="3">
        <f>-D128</f>
        <v>-7755.170000000001</v>
      </c>
      <c r="J31" s="7">
        <f>F31+I31</f>
        <v>139467.17999999996</v>
      </c>
      <c r="L31" s="3"/>
    </row>
    <row r="32" spans="1:13" x14ac:dyDescent="0.25">
      <c r="J32" s="7"/>
      <c r="L32" s="3"/>
      <c r="M32" s="23"/>
    </row>
    <row r="33" spans="1:16" x14ac:dyDescent="0.25">
      <c r="B33" s="4" t="s">
        <v>19</v>
      </c>
      <c r="F33" s="3">
        <f>B137</f>
        <v>12084.21</v>
      </c>
      <c r="I33" s="3">
        <f>-D137</f>
        <v>-6355.3099999999995</v>
      </c>
      <c r="J33" s="7">
        <f>F33+I33</f>
        <v>5728.9</v>
      </c>
      <c r="L33" s="3"/>
      <c r="M33" s="23"/>
      <c r="P33" s="24"/>
    </row>
    <row r="34" spans="1:16" x14ac:dyDescent="0.25">
      <c r="D34" s="4"/>
      <c r="J34" s="7"/>
      <c r="L34" s="3"/>
      <c r="M34" s="24"/>
      <c r="P34" s="24"/>
    </row>
    <row r="35" spans="1:16" x14ac:dyDescent="0.25">
      <c r="B35" s="4" t="s">
        <v>20</v>
      </c>
      <c r="F35" s="3">
        <f>B158</f>
        <v>157130.75</v>
      </c>
      <c r="I35" s="3">
        <f>-D158</f>
        <v>-3071.34</v>
      </c>
      <c r="J35" s="7">
        <f>F35+I35</f>
        <v>154059.41</v>
      </c>
      <c r="L35" s="3"/>
      <c r="P35" s="24"/>
    </row>
    <row r="36" spans="1:16" x14ac:dyDescent="0.25">
      <c r="D36" s="14" t="s">
        <v>21</v>
      </c>
      <c r="F36" s="3">
        <f>SUM(F29:F35)</f>
        <v>430311.06</v>
      </c>
      <c r="I36" s="3">
        <f>SUM(I29:I35)</f>
        <v>-44195.329999999987</v>
      </c>
      <c r="J36" s="7">
        <f>SUM(J29:J35)</f>
        <v>386115.73</v>
      </c>
      <c r="L36" s="3"/>
    </row>
    <row r="37" spans="1:16" x14ac:dyDescent="0.25">
      <c r="B37" s="25" t="s">
        <v>22</v>
      </c>
      <c r="C37" s="25"/>
      <c r="D37" s="26"/>
      <c r="E37" s="26"/>
      <c r="F37" s="26"/>
      <c r="G37" s="26"/>
      <c r="H37" s="26"/>
      <c r="I37" s="26">
        <f>-J72</f>
        <v>-54873.5</v>
      </c>
      <c r="J37" s="27"/>
      <c r="L37" s="3"/>
    </row>
    <row r="38" spans="1:16" x14ac:dyDescent="0.25">
      <c r="A38" s="3" t="s">
        <v>23</v>
      </c>
      <c r="D38" s="6" t="s">
        <v>24</v>
      </c>
      <c r="F38" s="3">
        <f>SUM(F29:F35)</f>
        <v>430311.06</v>
      </c>
      <c r="I38" s="3">
        <f>SUM(I36:I37)</f>
        <v>-99068.829999999987</v>
      </c>
      <c r="J38" s="7">
        <f>F38+I38</f>
        <v>331242.23</v>
      </c>
      <c r="M38" s="23"/>
      <c r="P38" s="24"/>
    </row>
    <row r="39" spans="1:16" x14ac:dyDescent="0.25">
      <c r="D39" s="6"/>
      <c r="J39" s="7"/>
      <c r="M39" s="23"/>
      <c r="P39" s="24"/>
    </row>
    <row r="40" spans="1:16" x14ac:dyDescent="0.25">
      <c r="B40" s="23"/>
      <c r="C40" s="23"/>
      <c r="D40" s="24"/>
      <c r="E40" s="24"/>
      <c r="F40" s="24"/>
      <c r="G40" s="24"/>
      <c r="H40" s="24"/>
      <c r="I40" s="24"/>
      <c r="J40" s="24"/>
      <c r="K40" s="24"/>
      <c r="L40" s="3"/>
    </row>
    <row r="41" spans="1:16" x14ac:dyDescent="0.25">
      <c r="B41" s="23"/>
      <c r="C41" s="23"/>
      <c r="D41" s="24"/>
      <c r="E41" s="24"/>
      <c r="F41" s="24"/>
      <c r="G41" s="24"/>
      <c r="H41" s="24"/>
      <c r="I41" s="24"/>
      <c r="J41" s="24"/>
      <c r="K41" s="24"/>
      <c r="L41" s="3"/>
    </row>
    <row r="42" spans="1:16" x14ac:dyDescent="0.25">
      <c r="B42" s="23"/>
      <c r="C42" s="23"/>
      <c r="D42" s="24"/>
      <c r="E42" s="24"/>
      <c r="F42" s="28" t="s">
        <v>25</v>
      </c>
      <c r="G42" s="29"/>
      <c r="H42" s="29"/>
      <c r="I42" s="24"/>
      <c r="J42" s="29"/>
      <c r="K42" s="24"/>
      <c r="L42" s="3"/>
    </row>
    <row r="43" spans="1:16" x14ac:dyDescent="0.25">
      <c r="B43" s="30" t="s">
        <v>26</v>
      </c>
      <c r="C43" s="23"/>
      <c r="D43" s="24" t="s">
        <v>27</v>
      </c>
      <c r="E43" s="24"/>
      <c r="F43" s="31"/>
      <c r="G43" s="31"/>
      <c r="H43" s="31"/>
      <c r="I43" s="24">
        <v>1899.21</v>
      </c>
      <c r="J43" s="32"/>
      <c r="K43" s="24"/>
      <c r="L43" s="3"/>
    </row>
    <row r="44" spans="1:16" x14ac:dyDescent="0.25">
      <c r="B44" s="23"/>
      <c r="C44" s="23"/>
      <c r="D44" s="24" t="s">
        <v>28</v>
      </c>
      <c r="E44" s="24"/>
      <c r="F44" s="33"/>
      <c r="G44" s="33"/>
      <c r="H44" s="33"/>
      <c r="I44" s="24">
        <f>2380</f>
        <v>2380</v>
      </c>
      <c r="J44" s="32"/>
      <c r="K44" s="24"/>
      <c r="L44" s="3"/>
    </row>
    <row r="45" spans="1:16" x14ac:dyDescent="0.25">
      <c r="B45" s="23"/>
      <c r="C45" s="23"/>
      <c r="D45" s="24" t="s">
        <v>139</v>
      </c>
      <c r="E45" s="24"/>
      <c r="F45" s="33"/>
      <c r="G45" s="33"/>
      <c r="H45" s="33"/>
      <c r="I45" s="24">
        <v>807.15</v>
      </c>
      <c r="J45" s="32"/>
      <c r="K45" s="24"/>
      <c r="L45" s="3"/>
    </row>
    <row r="46" spans="1:16" x14ac:dyDescent="0.25">
      <c r="B46" s="23"/>
      <c r="C46" s="23"/>
      <c r="D46" s="24" t="s">
        <v>29</v>
      </c>
      <c r="E46" s="24"/>
      <c r="F46" s="33"/>
      <c r="G46" s="33"/>
      <c r="H46" s="33"/>
      <c r="I46" s="24">
        <v>554.16</v>
      </c>
      <c r="J46" s="32"/>
      <c r="K46" s="24"/>
      <c r="L46" s="3"/>
    </row>
    <row r="47" spans="1:16" x14ac:dyDescent="0.25">
      <c r="B47" s="23"/>
      <c r="C47" s="23"/>
      <c r="D47" s="24"/>
      <c r="E47" s="24"/>
      <c r="F47" s="24"/>
      <c r="G47" s="24"/>
      <c r="H47" s="34" t="s">
        <v>30</v>
      </c>
      <c r="I47" s="24"/>
      <c r="J47" s="24">
        <f>SUM(I43:I46)</f>
        <v>5640.5199999999995</v>
      </c>
      <c r="K47" s="24"/>
      <c r="L47" s="3"/>
    </row>
    <row r="48" spans="1:16" x14ac:dyDescent="0.25">
      <c r="B48" s="23"/>
      <c r="C48" s="23"/>
      <c r="D48" s="24"/>
      <c r="E48" s="24"/>
      <c r="F48" s="24"/>
      <c r="G48" s="24"/>
      <c r="H48" s="34"/>
      <c r="I48" s="24"/>
      <c r="J48" s="24"/>
      <c r="K48" s="24"/>
      <c r="L48" s="3"/>
    </row>
    <row r="49" spans="2:12" x14ac:dyDescent="0.25">
      <c r="B49" s="23" t="s">
        <v>31</v>
      </c>
      <c r="C49" s="23"/>
      <c r="D49" s="24"/>
      <c r="E49" s="31"/>
      <c r="F49" s="31"/>
      <c r="G49" s="31"/>
      <c r="H49" s="31"/>
      <c r="I49" s="26"/>
      <c r="J49" s="3">
        <v>1566</v>
      </c>
      <c r="K49" s="24"/>
      <c r="L49" s="3"/>
    </row>
    <row r="50" spans="2:12" x14ac:dyDescent="0.25">
      <c r="B50" s="23" t="s">
        <v>32</v>
      </c>
      <c r="C50" s="23"/>
      <c r="D50" s="24"/>
      <c r="E50" s="33"/>
      <c r="F50" s="33"/>
      <c r="G50" s="33"/>
      <c r="H50" s="33"/>
      <c r="I50" s="35"/>
      <c r="J50" s="3">
        <v>36.380000000000003</v>
      </c>
      <c r="K50" s="24"/>
      <c r="L50" s="3"/>
    </row>
    <row r="51" spans="2:12" x14ac:dyDescent="0.25">
      <c r="B51" s="23" t="s">
        <v>33</v>
      </c>
      <c r="C51" s="23"/>
      <c r="D51" s="24"/>
      <c r="E51" s="33"/>
      <c r="F51" s="33"/>
      <c r="G51" s="33"/>
      <c r="H51" s="33"/>
      <c r="I51" s="35"/>
      <c r="J51" s="3">
        <v>3010.17</v>
      </c>
      <c r="K51" s="24"/>
      <c r="L51" s="3"/>
    </row>
    <row r="52" spans="2:12" x14ac:dyDescent="0.25">
      <c r="B52" s="23" t="s">
        <v>34</v>
      </c>
      <c r="C52" s="23"/>
      <c r="D52" s="24"/>
      <c r="E52" s="33"/>
      <c r="F52" s="33"/>
      <c r="G52" s="33"/>
      <c r="H52" s="33"/>
      <c r="I52" s="35"/>
      <c r="J52" s="3">
        <f>1589.15+174-453.15</f>
        <v>1310</v>
      </c>
      <c r="K52" s="24"/>
      <c r="L52" s="3"/>
    </row>
    <row r="53" spans="2:12" x14ac:dyDescent="0.25">
      <c r="B53" s="24" t="s">
        <v>35</v>
      </c>
      <c r="C53" s="23"/>
      <c r="E53" s="35"/>
      <c r="F53" s="33"/>
      <c r="G53" s="33"/>
      <c r="H53" s="33"/>
      <c r="I53" s="33"/>
      <c r="J53" s="24">
        <v>18</v>
      </c>
      <c r="K53" s="24"/>
      <c r="L53" s="3"/>
    </row>
    <row r="55" spans="2:12" x14ac:dyDescent="0.25">
      <c r="B55" s="24" t="s">
        <v>37</v>
      </c>
      <c r="C55" s="23"/>
      <c r="E55" s="31"/>
      <c r="F55" s="31"/>
      <c r="G55" s="31"/>
      <c r="H55" s="31"/>
      <c r="I55" s="26"/>
      <c r="J55" s="24">
        <v>2815.17</v>
      </c>
      <c r="K55" s="24"/>
      <c r="L55" s="3"/>
    </row>
    <row r="56" spans="2:12" x14ac:dyDescent="0.25">
      <c r="B56" s="30" t="s">
        <v>138</v>
      </c>
      <c r="C56" s="23"/>
      <c r="D56" s="24" t="s">
        <v>38</v>
      </c>
      <c r="E56" s="24"/>
      <c r="F56" s="31"/>
      <c r="G56" s="31"/>
      <c r="H56" s="31"/>
      <c r="I56" s="32">
        <v>25</v>
      </c>
      <c r="K56" s="24"/>
      <c r="L56" s="3"/>
    </row>
    <row r="57" spans="2:12" x14ac:dyDescent="0.25">
      <c r="C57" s="38"/>
      <c r="D57" s="23" t="s">
        <v>51</v>
      </c>
      <c r="E57" s="24"/>
      <c r="F57" s="33"/>
      <c r="G57" s="33"/>
      <c r="H57" s="33"/>
      <c r="I57" s="24">
        <v>1250</v>
      </c>
      <c r="K57" s="24"/>
      <c r="L57" s="3"/>
    </row>
    <row r="58" spans="2:12" x14ac:dyDescent="0.25">
      <c r="B58" s="23"/>
      <c r="C58" s="23"/>
      <c r="D58" s="24" t="s">
        <v>39</v>
      </c>
      <c r="E58" s="24"/>
      <c r="F58" s="33"/>
      <c r="G58" s="33"/>
      <c r="H58" s="33"/>
      <c r="I58" s="32">
        <v>50</v>
      </c>
      <c r="K58" s="24"/>
      <c r="L58" s="3"/>
    </row>
    <row r="59" spans="2:12" x14ac:dyDescent="0.25">
      <c r="B59" s="3"/>
      <c r="C59" s="23"/>
      <c r="D59" s="3" t="s">
        <v>36</v>
      </c>
      <c r="E59" s="24"/>
      <c r="F59" s="31"/>
      <c r="G59" s="31"/>
      <c r="H59" s="31"/>
      <c r="I59" s="24">
        <v>300</v>
      </c>
      <c r="K59" s="24"/>
      <c r="L59" s="3"/>
    </row>
    <row r="60" spans="2:12" x14ac:dyDescent="0.25">
      <c r="B60" s="23"/>
      <c r="C60" s="23"/>
      <c r="D60" s="24"/>
      <c r="E60" s="24"/>
      <c r="G60" s="23"/>
      <c r="H60" s="30" t="s">
        <v>142</v>
      </c>
      <c r="I60" s="24"/>
      <c r="J60" s="32">
        <f>SUM(I56:I59)</f>
        <v>1625</v>
      </c>
      <c r="K60" s="24"/>
      <c r="L60" s="3"/>
    </row>
    <row r="61" spans="2:12" x14ac:dyDescent="0.25">
      <c r="B61" s="30" t="s">
        <v>40</v>
      </c>
      <c r="C61" s="23"/>
      <c r="D61" s="24" t="s">
        <v>41</v>
      </c>
      <c r="E61" s="24"/>
      <c r="F61" s="31" t="s">
        <v>42</v>
      </c>
      <c r="G61" s="31"/>
      <c r="H61" s="31"/>
      <c r="I61" s="32">
        <f>150+150</f>
        <v>300</v>
      </c>
      <c r="J61" s="24"/>
      <c r="K61" s="24"/>
      <c r="L61" s="3"/>
    </row>
    <row r="62" spans="2:12" x14ac:dyDescent="0.25">
      <c r="B62" s="23"/>
      <c r="C62" s="23"/>
      <c r="D62" s="24" t="s">
        <v>43</v>
      </c>
      <c r="E62" s="24"/>
      <c r="F62" s="33" t="s">
        <v>44</v>
      </c>
      <c r="G62" s="33"/>
      <c r="H62" s="33"/>
      <c r="I62" s="32">
        <v>210</v>
      </c>
      <c r="J62" s="24"/>
      <c r="K62" s="24"/>
      <c r="L62" s="3"/>
    </row>
    <row r="63" spans="2:12" x14ac:dyDescent="0.25">
      <c r="B63" s="23"/>
      <c r="C63" s="23"/>
      <c r="D63" s="24" t="s">
        <v>45</v>
      </c>
      <c r="E63" s="24"/>
      <c r="F63" s="33"/>
      <c r="G63" s="33"/>
      <c r="H63" s="33"/>
      <c r="I63" s="32">
        <v>353.8</v>
      </c>
      <c r="J63" s="24"/>
      <c r="K63" s="24"/>
      <c r="L63" s="3"/>
    </row>
    <row r="64" spans="2:12" x14ac:dyDescent="0.25">
      <c r="B64" s="23"/>
      <c r="C64" s="23"/>
      <c r="D64" s="24" t="s">
        <v>46</v>
      </c>
      <c r="E64" s="24"/>
      <c r="F64" s="33"/>
      <c r="G64" s="33"/>
      <c r="H64" s="33"/>
      <c r="I64" s="32">
        <v>12910</v>
      </c>
      <c r="J64" s="24"/>
      <c r="K64" s="24"/>
      <c r="L64" s="3"/>
    </row>
    <row r="65" spans="1:24" x14ac:dyDescent="0.25">
      <c r="B65" s="23"/>
      <c r="C65" s="23" t="s">
        <v>47</v>
      </c>
      <c r="D65" s="24"/>
      <c r="E65" s="24"/>
      <c r="F65" s="36"/>
      <c r="G65" s="36"/>
      <c r="H65" s="34" t="s">
        <v>48</v>
      </c>
      <c r="I65" s="32"/>
      <c r="J65" s="24">
        <f>SUM(I61:I64)</f>
        <v>13773.8</v>
      </c>
      <c r="K65" s="24"/>
      <c r="L65" s="3"/>
    </row>
    <row r="66" spans="1:24" x14ac:dyDescent="0.25">
      <c r="B66" s="23"/>
      <c r="C66" s="23"/>
      <c r="D66" s="24"/>
      <c r="E66" s="24"/>
      <c r="G66" s="24"/>
      <c r="H66" s="24"/>
      <c r="I66" s="24"/>
      <c r="J66" s="24"/>
      <c r="K66" s="24"/>
      <c r="L66" s="3"/>
      <c r="M66" s="3" t="s">
        <v>16</v>
      </c>
    </row>
    <row r="67" spans="1:24" x14ac:dyDescent="0.25">
      <c r="B67" s="23" t="s">
        <v>49</v>
      </c>
      <c r="C67" s="37"/>
      <c r="D67" s="31"/>
      <c r="E67" s="31"/>
      <c r="F67" s="31"/>
      <c r="G67" s="31"/>
      <c r="H67" s="31"/>
      <c r="I67" s="31"/>
      <c r="J67" s="24">
        <v>7885</v>
      </c>
      <c r="K67" s="24"/>
      <c r="L67" s="3"/>
    </row>
    <row r="68" spans="1:24" x14ac:dyDescent="0.25">
      <c r="B68" s="23" t="s">
        <v>50</v>
      </c>
      <c r="C68" s="38"/>
      <c r="D68" s="33"/>
      <c r="E68" s="33"/>
      <c r="F68" s="33"/>
      <c r="G68" s="33"/>
      <c r="H68" s="33"/>
      <c r="I68" s="33"/>
      <c r="J68" s="24">
        <v>72.63</v>
      </c>
      <c r="K68" s="24"/>
      <c r="L68" s="3"/>
    </row>
    <row r="69" spans="1:24" x14ac:dyDescent="0.25">
      <c r="B69" s="4" t="s">
        <v>143</v>
      </c>
      <c r="J69" s="3">
        <v>1400</v>
      </c>
    </row>
    <row r="70" spans="1:24" x14ac:dyDescent="0.25">
      <c r="B70" s="23" t="s">
        <v>52</v>
      </c>
      <c r="C70" s="39"/>
      <c r="D70" s="33"/>
      <c r="E70" s="33"/>
      <c r="F70" s="33"/>
      <c r="G70" s="33"/>
      <c r="H70" s="33"/>
      <c r="I70" s="35"/>
      <c r="J70" s="24">
        <f>15552.51</f>
        <v>15552.51</v>
      </c>
      <c r="K70" s="24"/>
      <c r="L70" s="3"/>
    </row>
    <row r="71" spans="1:24" x14ac:dyDescent="0.25">
      <c r="B71" s="23" t="s">
        <v>53</v>
      </c>
      <c r="C71" s="39"/>
      <c r="D71" s="33"/>
      <c r="E71" s="33"/>
      <c r="F71" s="33"/>
      <c r="G71" s="33"/>
      <c r="H71" s="33"/>
      <c r="I71" s="35"/>
      <c r="J71" s="31">
        <f>168.32</f>
        <v>168.32</v>
      </c>
      <c r="K71" s="24"/>
      <c r="L71" s="3"/>
    </row>
    <row r="72" spans="1:24" x14ac:dyDescent="0.25">
      <c r="B72" s="3"/>
      <c r="C72" s="40"/>
      <c r="D72" s="24"/>
      <c r="E72" s="24"/>
      <c r="F72" s="41" t="s">
        <v>54</v>
      </c>
      <c r="G72" s="41"/>
      <c r="H72" s="40"/>
      <c r="I72" s="24"/>
      <c r="J72" s="34">
        <f>SUM(J43:J71)</f>
        <v>54873.5</v>
      </c>
      <c r="K72" s="24"/>
      <c r="L72" s="3"/>
    </row>
    <row r="73" spans="1:24" x14ac:dyDescent="0.25">
      <c r="B73" s="23"/>
      <c r="C73" s="23"/>
      <c r="D73" s="24"/>
      <c r="E73" s="24"/>
      <c r="F73" s="24"/>
      <c r="G73" s="24"/>
      <c r="H73" s="24"/>
      <c r="I73" s="24"/>
      <c r="J73" s="24"/>
      <c r="K73" s="24"/>
      <c r="L73" s="3"/>
    </row>
    <row r="74" spans="1:24" x14ac:dyDescent="0.25">
      <c r="L74" s="3"/>
    </row>
    <row r="75" spans="1:24" x14ac:dyDescent="0.25">
      <c r="L75" s="3"/>
    </row>
    <row r="76" spans="1:24" x14ac:dyDescent="0.25">
      <c r="L76" s="3"/>
    </row>
    <row r="78" spans="1:24" x14ac:dyDescent="0.25">
      <c r="B78" s="43"/>
      <c r="C78" s="43"/>
      <c r="L78" s="3"/>
    </row>
    <row r="79" spans="1:24" x14ac:dyDescent="0.25">
      <c r="B79" s="44"/>
      <c r="C79" s="45" t="s">
        <v>55</v>
      </c>
      <c r="D79" s="44"/>
      <c r="E79" s="44"/>
      <c r="F79" s="44"/>
      <c r="G79" s="4"/>
      <c r="L79" s="3"/>
      <c r="M79" s="8"/>
    </row>
    <row r="80" spans="1:24" x14ac:dyDescent="0.25">
      <c r="A80" s="1" t="s">
        <v>56</v>
      </c>
      <c r="B80" s="46"/>
      <c r="C80" s="46"/>
      <c r="D80" s="47"/>
      <c r="E80" s="47">
        <v>2022</v>
      </c>
      <c r="F80" s="47">
        <v>2021</v>
      </c>
      <c r="G80" s="47">
        <v>2020</v>
      </c>
      <c r="H80" s="47">
        <v>2019</v>
      </c>
      <c r="I80" s="47">
        <v>2018</v>
      </c>
      <c r="J80" s="47">
        <v>2017</v>
      </c>
      <c r="K80" s="47">
        <v>2016</v>
      </c>
      <c r="L80" s="47">
        <v>2015</v>
      </c>
      <c r="M80" s="48">
        <v>2014</v>
      </c>
      <c r="N80" s="47">
        <v>2013</v>
      </c>
      <c r="O80" s="47">
        <v>2012</v>
      </c>
      <c r="P80" s="47">
        <v>2011</v>
      </c>
      <c r="Q80" s="47">
        <v>2010</v>
      </c>
      <c r="R80" s="47">
        <v>2009</v>
      </c>
      <c r="S80" s="47">
        <v>2008</v>
      </c>
      <c r="T80" s="47">
        <v>2006</v>
      </c>
      <c r="U80" s="47">
        <v>2005</v>
      </c>
      <c r="V80" s="47">
        <v>2004</v>
      </c>
      <c r="W80" s="47">
        <v>2003</v>
      </c>
      <c r="X80" s="49">
        <v>2002</v>
      </c>
    </row>
    <row r="81" spans="1:24" s="47" customFormat="1" x14ac:dyDescent="0.25">
      <c r="A81" s="1"/>
      <c r="B81" s="50" t="s">
        <v>57</v>
      </c>
      <c r="C81" s="50"/>
      <c r="D81" s="51" t="s">
        <v>58</v>
      </c>
      <c r="E81" s="51" t="s">
        <v>59</v>
      </c>
      <c r="F81" s="51" t="s">
        <v>59</v>
      </c>
      <c r="G81" s="52" t="s">
        <v>59</v>
      </c>
      <c r="H81" s="52" t="s">
        <v>59</v>
      </c>
      <c r="I81" s="51" t="s">
        <v>59</v>
      </c>
      <c r="J81" s="51" t="s">
        <v>59</v>
      </c>
      <c r="K81" s="51" t="s">
        <v>59</v>
      </c>
      <c r="L81" s="51" t="s">
        <v>59</v>
      </c>
      <c r="M81" s="53" t="s">
        <v>59</v>
      </c>
      <c r="N81" s="51" t="s">
        <v>59</v>
      </c>
      <c r="O81" s="51" t="s">
        <v>59</v>
      </c>
      <c r="P81" s="51" t="s">
        <v>59</v>
      </c>
      <c r="Q81" s="51" t="s">
        <v>59</v>
      </c>
      <c r="R81" s="54" t="s">
        <v>59</v>
      </c>
      <c r="S81" s="54" t="s">
        <v>59</v>
      </c>
      <c r="T81" s="54" t="s">
        <v>59</v>
      </c>
      <c r="U81" s="54" t="s">
        <v>59</v>
      </c>
      <c r="V81" s="54" t="s">
        <v>59</v>
      </c>
      <c r="W81" s="54" t="s">
        <v>59</v>
      </c>
      <c r="X81" s="54" t="s">
        <v>59</v>
      </c>
    </row>
    <row r="82" spans="1:24" s="47" customFormat="1" ht="27.95" customHeight="1" x14ac:dyDescent="0.25">
      <c r="A82" s="55" t="s">
        <v>60</v>
      </c>
      <c r="B82" s="2" t="s">
        <v>61</v>
      </c>
      <c r="C82" s="2"/>
      <c r="D82" s="1"/>
      <c r="E82" s="24"/>
      <c r="G82" s="78">
        <v>9854.6299999999992</v>
      </c>
      <c r="H82" s="47" t="s">
        <v>62</v>
      </c>
      <c r="I82" s="1"/>
      <c r="J82" s="1"/>
      <c r="K82" s="1"/>
      <c r="L82" s="1"/>
      <c r="M82" s="56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</row>
    <row r="83" spans="1:24" s="47" customFormat="1" ht="27.95" customHeight="1" x14ac:dyDescent="0.25">
      <c r="A83" s="55" t="s">
        <v>63</v>
      </c>
      <c r="B83" s="2"/>
      <c r="C83" s="2"/>
      <c r="D83" s="1"/>
      <c r="E83" s="24"/>
      <c r="G83" s="78">
        <v>9173.43</v>
      </c>
      <c r="I83" s="1"/>
      <c r="J83" s="1"/>
      <c r="K83" s="1"/>
      <c r="L83" s="1"/>
      <c r="M83" s="56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</row>
    <row r="84" spans="1:24" s="1" customFormat="1" ht="31.5" x14ac:dyDescent="0.25">
      <c r="A84" s="57" t="s">
        <v>64</v>
      </c>
      <c r="B84" s="3">
        <v>9648.15</v>
      </c>
      <c r="C84" s="23"/>
      <c r="D84" s="24"/>
      <c r="E84" s="24"/>
      <c r="F84" s="3">
        <v>5900</v>
      </c>
      <c r="G84" s="79"/>
      <c r="H84" s="3">
        <v>6680</v>
      </c>
      <c r="I84" s="24">
        <v>5220</v>
      </c>
      <c r="J84" s="24">
        <v>1200</v>
      </c>
      <c r="K84" s="3">
        <v>996</v>
      </c>
      <c r="L84" s="3"/>
      <c r="M84" s="58">
        <v>18544</v>
      </c>
      <c r="N84" s="3">
        <v>15924</v>
      </c>
      <c r="O84" s="3"/>
      <c r="P84" s="24"/>
      <c r="Q84" s="24"/>
      <c r="R84" s="24"/>
      <c r="S84" s="42">
        <v>7656</v>
      </c>
      <c r="T84" s="3">
        <v>7088.25</v>
      </c>
      <c r="U84" s="3"/>
      <c r="V84" s="3"/>
      <c r="W84" s="3"/>
      <c r="X84" s="3"/>
    </row>
    <row r="85" spans="1:24" x14ac:dyDescent="0.25">
      <c r="A85" s="3" t="s">
        <v>65</v>
      </c>
      <c r="B85" s="23">
        <f>10+40+375+450+858+382+308+1926+1371+360+648+872+90</f>
        <v>7690</v>
      </c>
      <c r="C85" s="23"/>
      <c r="D85" s="24">
        <f>2187.8+3458.1+331.2+1686.75+300+674.88+191.01+5756.4-2852.64+2852.64</f>
        <v>14586.14</v>
      </c>
      <c r="E85" s="24">
        <f>B85-D85+B84</f>
        <v>2752.01</v>
      </c>
      <c r="F85" s="3">
        <v>2289.54</v>
      </c>
      <c r="G85" s="3">
        <v>133</v>
      </c>
      <c r="H85" s="3">
        <v>3539.77</v>
      </c>
      <c r="I85" s="24">
        <v>2415.9400000000005</v>
      </c>
      <c r="J85" s="24">
        <v>4239.51</v>
      </c>
      <c r="K85" s="3">
        <v>7104.07</v>
      </c>
      <c r="L85" s="3">
        <v>1938.08</v>
      </c>
      <c r="M85" s="58">
        <v>1723</v>
      </c>
      <c r="N85" s="3">
        <v>4585.3599999999997</v>
      </c>
      <c r="O85" s="3">
        <v>4136.59</v>
      </c>
      <c r="P85" s="24">
        <v>14381.33</v>
      </c>
      <c r="Q85" s="24">
        <v>0</v>
      </c>
      <c r="R85" s="24">
        <v>0</v>
      </c>
      <c r="S85" s="42"/>
      <c r="T85" s="3">
        <v>-147.25</v>
      </c>
      <c r="U85" s="3">
        <v>-5.67</v>
      </c>
      <c r="V85" s="3">
        <v>-70.64</v>
      </c>
      <c r="W85" s="1">
        <v>-31.22</v>
      </c>
      <c r="X85" s="3">
        <v>-11</v>
      </c>
    </row>
    <row r="86" spans="1:24" x14ac:dyDescent="0.25">
      <c r="A86" s="3" t="s">
        <v>66</v>
      </c>
      <c r="B86" s="23">
        <f>6744.84+1138.16</f>
        <v>7883</v>
      </c>
      <c r="C86" s="23"/>
      <c r="D86" s="32">
        <f>1138.16+249.49</f>
        <v>1387.65</v>
      </c>
      <c r="E86" s="24">
        <f t="shared" ref="E86:E114" si="0">B86-D86</f>
        <v>6495.35</v>
      </c>
      <c r="F86" s="3">
        <v>10764.13</v>
      </c>
      <c r="G86" s="3">
        <v>13986.8</v>
      </c>
      <c r="H86" s="3">
        <v>1909.19</v>
      </c>
      <c r="I86" s="24">
        <v>4363.91</v>
      </c>
      <c r="J86" s="24">
        <v>4774.37</v>
      </c>
      <c r="K86" s="3">
        <v>3461.29</v>
      </c>
      <c r="L86" s="3">
        <v>3494.96</v>
      </c>
      <c r="M86" s="58">
        <v>4647.4799999999996</v>
      </c>
      <c r="N86" s="3">
        <v>4967.5</v>
      </c>
      <c r="O86" s="3">
        <v>3796.09</v>
      </c>
      <c r="P86" s="24">
        <v>3688.27</v>
      </c>
      <c r="Q86" s="24">
        <v>2835.12</v>
      </c>
      <c r="R86" s="24">
        <v>2883.5200000000004</v>
      </c>
      <c r="S86" s="42">
        <v>3226.69</v>
      </c>
      <c r="T86" s="3">
        <v>2157.84</v>
      </c>
      <c r="U86" s="3">
        <v>4565.45</v>
      </c>
      <c r="V86" s="3">
        <v>3486.84</v>
      </c>
      <c r="W86" s="3">
        <v>2257.59</v>
      </c>
      <c r="X86" s="3">
        <v>3276.83</v>
      </c>
    </row>
    <row r="87" spans="1:24" x14ac:dyDescent="0.25">
      <c r="A87" s="3" t="s">
        <v>67</v>
      </c>
      <c r="B87" s="23">
        <f>4471+180.25</f>
        <v>4651.25</v>
      </c>
      <c r="C87" s="23"/>
      <c r="D87" s="32"/>
      <c r="E87" s="24">
        <f t="shared" si="0"/>
        <v>4651.25</v>
      </c>
      <c r="F87" s="3">
        <v>3781</v>
      </c>
      <c r="H87" s="3">
        <v>3738</v>
      </c>
      <c r="I87" s="24">
        <v>2695.25</v>
      </c>
      <c r="J87" s="24">
        <v>2708</v>
      </c>
      <c r="K87" s="3">
        <v>2772.5</v>
      </c>
      <c r="L87" s="3">
        <v>1563.64</v>
      </c>
      <c r="M87" s="58">
        <v>4005.64</v>
      </c>
      <c r="N87" s="3">
        <v>7399.38</v>
      </c>
      <c r="O87" s="3">
        <v>3819.88</v>
      </c>
      <c r="P87" s="24">
        <v>4152.75</v>
      </c>
      <c r="Q87" s="24">
        <v>3734.8</v>
      </c>
      <c r="R87" s="24">
        <v>4352</v>
      </c>
      <c r="S87" s="42">
        <v>2665.39</v>
      </c>
      <c r="T87" s="3">
        <v>3000.5</v>
      </c>
      <c r="U87" s="3">
        <v>3235.61</v>
      </c>
      <c r="V87" s="3">
        <v>1847.1</v>
      </c>
      <c r="W87" s="3">
        <v>2178</v>
      </c>
      <c r="X87" s="3">
        <v>2366.5</v>
      </c>
    </row>
    <row r="88" spans="1:24" x14ac:dyDescent="0.25">
      <c r="A88" s="3" t="s">
        <v>68</v>
      </c>
      <c r="B88" s="23">
        <f>16841.8+97.2+122</f>
        <v>17061</v>
      </c>
      <c r="C88" s="23"/>
      <c r="D88" s="32">
        <f>97.2+122+99.95</f>
        <v>319.14999999999998</v>
      </c>
      <c r="E88" s="24">
        <f t="shared" si="0"/>
        <v>16741.849999999999</v>
      </c>
      <c r="F88" s="3">
        <v>14782.63</v>
      </c>
      <c r="G88" s="3">
        <v>6513</v>
      </c>
      <c r="H88" s="3">
        <v>16956.34</v>
      </c>
      <c r="I88" s="24">
        <v>13094.26</v>
      </c>
      <c r="J88" s="24">
        <v>16478.61</v>
      </c>
      <c r="K88" s="3">
        <v>15316.830000000002</v>
      </c>
      <c r="L88" s="3">
        <v>11105.81</v>
      </c>
      <c r="M88" s="58">
        <v>15767.33</v>
      </c>
      <c r="N88" s="3">
        <v>14001.71</v>
      </c>
      <c r="O88" s="3">
        <v>12789.77</v>
      </c>
      <c r="P88" s="24">
        <v>11474.8</v>
      </c>
      <c r="Q88" s="24">
        <v>11693</v>
      </c>
      <c r="R88" s="24">
        <v>9808.7999999999993</v>
      </c>
      <c r="S88" s="42">
        <v>9097.14</v>
      </c>
      <c r="T88" s="3">
        <v>7161.13</v>
      </c>
      <c r="U88" s="3">
        <v>9035.0400000000009</v>
      </c>
      <c r="V88" s="3">
        <v>8540</v>
      </c>
      <c r="W88" s="3">
        <v>8275.4699999999993</v>
      </c>
      <c r="X88" s="3">
        <v>7754.24</v>
      </c>
    </row>
    <row r="89" spans="1:24" x14ac:dyDescent="0.25">
      <c r="A89" s="3" t="s">
        <v>69</v>
      </c>
      <c r="B89" s="23">
        <v>6106.75</v>
      </c>
      <c r="C89" s="23"/>
      <c r="D89" s="32"/>
      <c r="E89" s="24">
        <f t="shared" si="0"/>
        <v>6106.75</v>
      </c>
      <c r="F89" s="3">
        <v>5069.5</v>
      </c>
      <c r="H89" s="3">
        <v>4883.3</v>
      </c>
      <c r="I89" s="24">
        <v>3896.95</v>
      </c>
      <c r="J89" s="24">
        <v>3289.52</v>
      </c>
      <c r="K89" s="3">
        <v>3497.71</v>
      </c>
      <c r="L89" s="3">
        <v>3489.1</v>
      </c>
      <c r="M89" s="58">
        <v>3168.2</v>
      </c>
      <c r="N89" s="3">
        <v>2687.92</v>
      </c>
      <c r="O89" s="3">
        <v>2844.07</v>
      </c>
      <c r="P89" s="24">
        <v>2984.64</v>
      </c>
      <c r="Q89" s="24">
        <v>3454.1</v>
      </c>
      <c r="R89" s="24">
        <v>3681.11</v>
      </c>
      <c r="S89" s="42">
        <v>3587.59</v>
      </c>
      <c r="T89" s="3">
        <v>3605.12</v>
      </c>
      <c r="U89" s="3">
        <v>3532.93</v>
      </c>
      <c r="V89" s="3">
        <v>2573.8200000000002</v>
      </c>
      <c r="W89" s="3">
        <v>1709.79</v>
      </c>
      <c r="X89" s="3">
        <v>1996.44</v>
      </c>
    </row>
    <row r="90" spans="1:24" x14ac:dyDescent="0.25">
      <c r="A90" s="3" t="s">
        <v>70</v>
      </c>
      <c r="B90" s="23"/>
      <c r="C90" s="23"/>
      <c r="D90" s="32"/>
      <c r="E90" s="24">
        <f t="shared" si="0"/>
        <v>0</v>
      </c>
      <c r="G90" s="3">
        <v>7810.34</v>
      </c>
      <c r="H90" s="3">
        <v>3083.05</v>
      </c>
      <c r="I90" s="24">
        <v>3335.85</v>
      </c>
      <c r="J90" s="24">
        <v>2183.16</v>
      </c>
      <c r="L90" s="3"/>
      <c r="M90" s="58"/>
      <c r="P90" s="24"/>
      <c r="Q90" s="24"/>
      <c r="R90" s="24"/>
      <c r="S90" s="42"/>
    </row>
    <row r="91" spans="1:24" x14ac:dyDescent="0.25">
      <c r="A91" s="3" t="s">
        <v>71</v>
      </c>
      <c r="B91" s="23"/>
      <c r="C91" s="23"/>
      <c r="D91" s="32"/>
      <c r="E91" s="24">
        <f t="shared" si="0"/>
        <v>0</v>
      </c>
      <c r="H91" s="3">
        <v>0</v>
      </c>
      <c r="I91" s="24">
        <v>0</v>
      </c>
      <c r="J91" s="24">
        <v>0</v>
      </c>
      <c r="K91" s="3">
        <v>0</v>
      </c>
      <c r="L91" s="3">
        <v>89.25</v>
      </c>
      <c r="M91" s="58">
        <v>341.25</v>
      </c>
      <c r="N91" s="3">
        <v>423</v>
      </c>
      <c r="O91" s="3">
        <v>437</v>
      </c>
      <c r="P91" s="24">
        <v>426.5</v>
      </c>
      <c r="Q91" s="24">
        <v>512.53</v>
      </c>
      <c r="R91" s="24">
        <v>513.52</v>
      </c>
      <c r="S91" s="42">
        <v>525.25</v>
      </c>
      <c r="T91" s="3">
        <v>590.37</v>
      </c>
      <c r="U91" s="3">
        <v>587.66999999999996</v>
      </c>
      <c r="V91" s="3">
        <v>424.38</v>
      </c>
    </row>
    <row r="92" spans="1:24" x14ac:dyDescent="0.25">
      <c r="A92" s="3" t="s">
        <v>72</v>
      </c>
      <c r="B92" s="23">
        <f>3833+30</f>
        <v>3863</v>
      </c>
      <c r="C92" s="23"/>
      <c r="D92" s="32"/>
      <c r="E92" s="24">
        <f t="shared" si="0"/>
        <v>3863</v>
      </c>
      <c r="F92" s="3">
        <v>4006.75</v>
      </c>
      <c r="H92" s="3">
        <v>4072.61</v>
      </c>
      <c r="I92" s="24">
        <v>4893</v>
      </c>
      <c r="J92" s="24">
        <v>3866.5</v>
      </c>
      <c r="K92" s="3">
        <v>4794.76</v>
      </c>
      <c r="L92" s="3">
        <v>2305.25</v>
      </c>
      <c r="M92" s="58">
        <v>4079.02</v>
      </c>
      <c r="N92" s="3">
        <v>2296.25</v>
      </c>
      <c r="O92" s="3">
        <v>4015.65</v>
      </c>
      <c r="P92" s="24">
        <v>3704.26</v>
      </c>
      <c r="Q92" s="24">
        <v>2925.45</v>
      </c>
      <c r="R92" s="24">
        <v>3039.7</v>
      </c>
      <c r="S92" s="42"/>
      <c r="U92" s="3">
        <v>3376.2</v>
      </c>
      <c r="V92" s="3">
        <v>2984.61</v>
      </c>
      <c r="W92" s="3">
        <f>SUM(U92:V92)</f>
        <v>6360.8099999999995</v>
      </c>
      <c r="X92" s="3">
        <v>2158.9499999999998</v>
      </c>
    </row>
    <row r="93" spans="1:24" x14ac:dyDescent="0.25">
      <c r="A93" s="3" t="s">
        <v>73</v>
      </c>
      <c r="B93" s="23"/>
      <c r="C93" s="23"/>
      <c r="D93" s="32"/>
      <c r="E93" s="24">
        <f t="shared" si="0"/>
        <v>0</v>
      </c>
      <c r="H93" s="3">
        <v>0</v>
      </c>
      <c r="I93" s="24">
        <v>0</v>
      </c>
      <c r="J93" s="24">
        <v>1105.29</v>
      </c>
      <c r="K93" s="3">
        <v>1055.6099999999999</v>
      </c>
      <c r="L93" s="3">
        <v>807.25</v>
      </c>
      <c r="M93" s="58">
        <v>956.25</v>
      </c>
      <c r="N93" s="3">
        <v>1046</v>
      </c>
      <c r="O93" s="3">
        <v>876</v>
      </c>
      <c r="P93" s="24">
        <v>772.95</v>
      </c>
      <c r="Q93" s="24">
        <v>792.52</v>
      </c>
      <c r="R93" s="24">
        <v>861.52</v>
      </c>
      <c r="S93" s="42">
        <v>774</v>
      </c>
      <c r="T93" s="3">
        <v>837.61</v>
      </c>
      <c r="U93" s="3">
        <v>456.17</v>
      </c>
      <c r="V93" s="3">
        <v>388.92</v>
      </c>
      <c r="W93" s="3">
        <v>279.8</v>
      </c>
      <c r="X93" s="3">
        <v>251</v>
      </c>
    </row>
    <row r="94" spans="1:24" x14ac:dyDescent="0.25">
      <c r="A94" s="3" t="s">
        <v>74</v>
      </c>
      <c r="B94" s="23">
        <f>5330.05+3000+1013-16</f>
        <v>9327.0499999999993</v>
      </c>
      <c r="C94" s="23"/>
      <c r="D94" s="32">
        <f>3000+1013+498.65</f>
        <v>4511.6499999999996</v>
      </c>
      <c r="E94" s="24">
        <f t="shared" si="0"/>
        <v>4815.3999999999996</v>
      </c>
      <c r="F94" s="3">
        <v>10361.75</v>
      </c>
      <c r="H94" s="3">
        <v>8138.74</v>
      </c>
      <c r="I94" s="24">
        <v>10810.76</v>
      </c>
      <c r="J94" s="24">
        <v>9491.8100000000013</v>
      </c>
      <c r="K94" s="3">
        <v>5511.1900000000005</v>
      </c>
      <c r="L94" s="3">
        <v>6539.25</v>
      </c>
      <c r="M94" s="58">
        <v>8350.81</v>
      </c>
      <c r="N94" s="3">
        <v>2239.29</v>
      </c>
      <c r="O94" s="3">
        <v>7305.67</v>
      </c>
      <c r="P94" s="24">
        <v>6976.49</v>
      </c>
      <c r="Q94" s="24">
        <v>6912.79</v>
      </c>
      <c r="R94" s="24">
        <v>4651.59</v>
      </c>
      <c r="S94" s="42">
        <v>4488.41</v>
      </c>
      <c r="T94" s="3">
        <v>2064.44</v>
      </c>
      <c r="U94" s="3">
        <v>2455.7800000000002</v>
      </c>
      <c r="V94" s="3">
        <v>3444.34</v>
      </c>
      <c r="W94" s="3">
        <v>5639.18</v>
      </c>
      <c r="X94" s="3">
        <v>4988.5600000000004</v>
      </c>
    </row>
    <row r="95" spans="1:24" x14ac:dyDescent="0.25">
      <c r="A95" s="3" t="s">
        <v>75</v>
      </c>
      <c r="B95" s="23">
        <v>153</v>
      </c>
      <c r="C95" s="23"/>
      <c r="D95" s="32"/>
      <c r="E95" s="24">
        <f t="shared" si="0"/>
        <v>153</v>
      </c>
      <c r="F95" s="3">
        <v>424.4</v>
      </c>
      <c r="H95" s="3">
        <v>-419.45</v>
      </c>
      <c r="I95" s="24">
        <v>150</v>
      </c>
      <c r="J95" s="24">
        <v>-335.25</v>
      </c>
      <c r="K95" s="3">
        <v>-470.25</v>
      </c>
      <c r="L95" s="3">
        <v>141</v>
      </c>
      <c r="M95" s="58">
        <v>-599.25</v>
      </c>
      <c r="O95" s="3">
        <v>-14.7</v>
      </c>
      <c r="P95" s="24">
        <v>-87.12</v>
      </c>
      <c r="Q95" s="24">
        <v>-58.12</v>
      </c>
      <c r="R95" s="24">
        <v>29.830000000000041</v>
      </c>
      <c r="S95" s="42">
        <v>217.45</v>
      </c>
      <c r="T95" s="3">
        <v>1380.36</v>
      </c>
      <c r="U95" s="3">
        <v>-37.96</v>
      </c>
      <c r="V95" s="3">
        <v>1.17</v>
      </c>
      <c r="W95" s="3">
        <v>63.7</v>
      </c>
      <c r="X95" s="3">
        <v>-483.25</v>
      </c>
    </row>
    <row r="96" spans="1:24" x14ac:dyDescent="0.25">
      <c r="A96" s="3" t="s">
        <v>76</v>
      </c>
      <c r="B96" s="23">
        <f>12388+650</f>
        <v>13038</v>
      </c>
      <c r="C96" s="23"/>
      <c r="D96" s="32">
        <f>1231.04+749.58</f>
        <v>1980.62</v>
      </c>
      <c r="E96" s="24">
        <f t="shared" si="0"/>
        <v>11057.380000000001</v>
      </c>
      <c r="F96" s="3">
        <v>13454.34</v>
      </c>
      <c r="H96" s="3">
        <v>11241.44</v>
      </c>
      <c r="I96" s="24">
        <v>10483.73</v>
      </c>
      <c r="J96" s="24">
        <v>11471.82</v>
      </c>
      <c r="K96" s="3">
        <v>10483.719999999999</v>
      </c>
      <c r="L96" s="3">
        <v>8259.9599999999991</v>
      </c>
      <c r="M96" s="58">
        <v>12149.8</v>
      </c>
      <c r="N96" s="3">
        <v>9374.93</v>
      </c>
      <c r="O96" s="3">
        <v>10252.26</v>
      </c>
      <c r="P96" s="24">
        <v>13398.35</v>
      </c>
      <c r="Q96" s="24">
        <v>9942.7199999999993</v>
      </c>
      <c r="R96" s="24">
        <v>9373.880000000001</v>
      </c>
      <c r="S96" s="42">
        <v>8622.2000000000007</v>
      </c>
      <c r="T96" s="3">
        <v>5903.68</v>
      </c>
      <c r="U96" s="3">
        <v>6896.32</v>
      </c>
      <c r="V96" s="3">
        <v>6142.33</v>
      </c>
      <c r="W96" s="3">
        <v>6412.24</v>
      </c>
      <c r="X96" s="3">
        <v>5845.6</v>
      </c>
    </row>
    <row r="97" spans="1:24" x14ac:dyDescent="0.25">
      <c r="A97" s="3" t="s">
        <v>77</v>
      </c>
      <c r="B97" s="23">
        <v>930</v>
      </c>
      <c r="C97" s="23"/>
      <c r="E97" s="24">
        <f t="shared" si="0"/>
        <v>930</v>
      </c>
      <c r="F97" s="3">
        <v>0</v>
      </c>
      <c r="H97" s="3">
        <v>0</v>
      </c>
      <c r="I97" s="24">
        <v>0</v>
      </c>
      <c r="J97" s="24">
        <v>0</v>
      </c>
      <c r="K97" s="3">
        <v>-180.6</v>
      </c>
      <c r="L97" s="3"/>
      <c r="M97" s="58">
        <v>1111.1500000000001</v>
      </c>
      <c r="N97" s="3">
        <v>699.42</v>
      </c>
      <c r="O97" s="3">
        <v>592.41999999999996</v>
      </c>
      <c r="P97" s="24">
        <v>722.43</v>
      </c>
      <c r="Q97" s="24">
        <v>630.62</v>
      </c>
      <c r="R97" s="24">
        <v>1131.82</v>
      </c>
      <c r="S97" s="42">
        <v>1404.51</v>
      </c>
      <c r="T97" s="3">
        <v>879.26</v>
      </c>
      <c r="U97" s="3">
        <v>1166.7</v>
      </c>
      <c r="V97" s="3">
        <v>383.46</v>
      </c>
      <c r="W97" s="3">
        <v>982.76</v>
      </c>
      <c r="X97" s="3">
        <v>749.63</v>
      </c>
    </row>
    <row r="98" spans="1:24" x14ac:dyDescent="0.25">
      <c r="A98" s="59" t="s">
        <v>78</v>
      </c>
      <c r="B98" s="23">
        <v>2053</v>
      </c>
      <c r="C98" s="23"/>
      <c r="D98" s="32">
        <v>930.8</v>
      </c>
      <c r="E98" s="24">
        <f t="shared" si="0"/>
        <v>1122.2</v>
      </c>
      <c r="F98" s="3">
        <v>1187.95</v>
      </c>
      <c r="H98" s="3">
        <v>744.17</v>
      </c>
      <c r="I98" s="24">
        <v>1603.0500000000002</v>
      </c>
      <c r="J98" s="24">
        <v>913.01</v>
      </c>
      <c r="K98" s="3">
        <v>1563.6399999999999</v>
      </c>
      <c r="L98" s="3">
        <v>786.5</v>
      </c>
      <c r="M98" s="58">
        <v>2048.31</v>
      </c>
      <c r="N98" s="3">
        <v>2026.73</v>
      </c>
      <c r="O98" s="3">
        <v>1331.41</v>
      </c>
      <c r="P98" s="24">
        <v>1493.45</v>
      </c>
      <c r="Q98" s="24">
        <v>944.2</v>
      </c>
      <c r="R98" s="24">
        <v>1475.1</v>
      </c>
      <c r="S98" s="42">
        <v>1440.11</v>
      </c>
      <c r="T98" s="3">
        <v>521.37</v>
      </c>
      <c r="U98" s="3">
        <v>1565.52</v>
      </c>
      <c r="V98" s="3">
        <v>1238.1300000000001</v>
      </c>
      <c r="W98" s="3">
        <v>1066.29</v>
      </c>
      <c r="X98" s="3">
        <v>1035.23</v>
      </c>
    </row>
    <row r="99" spans="1:24" x14ac:dyDescent="0.25">
      <c r="A99" s="3" t="s">
        <v>79</v>
      </c>
      <c r="B99" s="60">
        <f>4801+270+210</f>
        <v>5281</v>
      </c>
      <c r="C99" s="23"/>
      <c r="D99" s="32">
        <v>1375</v>
      </c>
      <c r="E99" s="24">
        <f>B99-D99</f>
        <v>3906</v>
      </c>
      <c r="F99" s="3">
        <v>2329.0100000000002</v>
      </c>
      <c r="G99" s="3">
        <v>1850</v>
      </c>
      <c r="H99" s="3">
        <v>6508.93</v>
      </c>
      <c r="I99" s="24">
        <v>5424.57</v>
      </c>
      <c r="J99" s="24">
        <v>4586.38</v>
      </c>
      <c r="K99" s="3">
        <v>3977.4800000000005</v>
      </c>
      <c r="L99" s="3">
        <v>3178.5</v>
      </c>
      <c r="M99" s="3">
        <v>5386.03</v>
      </c>
      <c r="N99" s="3">
        <v>5572.9</v>
      </c>
      <c r="O99" s="3">
        <v>5248.97</v>
      </c>
      <c r="P99" s="24">
        <v>6690.07</v>
      </c>
      <c r="Q99" s="24">
        <v>6216.9</v>
      </c>
      <c r="R99" s="24">
        <v>4648.32</v>
      </c>
      <c r="S99" s="42">
        <v>5181.7700000000004</v>
      </c>
      <c r="T99" s="3">
        <v>2303.33</v>
      </c>
      <c r="U99" s="3">
        <v>2410.59</v>
      </c>
      <c r="V99" s="3">
        <v>1538.2</v>
      </c>
      <c r="W99" s="3">
        <v>1183.8900000000001</v>
      </c>
      <c r="X99" s="3">
        <v>1376.8</v>
      </c>
    </row>
    <row r="100" spans="1:24" x14ac:dyDescent="0.25">
      <c r="A100" s="3" t="s">
        <v>80</v>
      </c>
      <c r="B100" s="23">
        <v>3056</v>
      </c>
      <c r="C100" s="23"/>
      <c r="D100" s="32"/>
      <c r="E100" s="24">
        <f t="shared" si="0"/>
        <v>3056</v>
      </c>
      <c r="F100" s="3">
        <v>3385</v>
      </c>
      <c r="H100" s="3">
        <v>3394.49</v>
      </c>
      <c r="I100" s="24">
        <v>2349.9499999999998</v>
      </c>
      <c r="J100" s="24">
        <v>2421.75</v>
      </c>
      <c r="K100" s="3">
        <v>2335.67</v>
      </c>
      <c r="L100" s="3">
        <v>1427</v>
      </c>
      <c r="M100" s="58">
        <v>1391.42</v>
      </c>
      <c r="N100" s="3">
        <v>1511.38</v>
      </c>
      <c r="O100" s="3">
        <v>1319.41</v>
      </c>
      <c r="P100" s="24">
        <v>1268.57</v>
      </c>
      <c r="Q100" s="24">
        <v>1418.07</v>
      </c>
      <c r="R100" s="24">
        <v>816.93000000000006</v>
      </c>
      <c r="S100" s="42">
        <v>1380.6</v>
      </c>
      <c r="T100" s="3">
        <v>594.05999999999995</v>
      </c>
      <c r="U100" s="3">
        <v>764.25</v>
      </c>
      <c r="V100" s="3">
        <v>656</v>
      </c>
      <c r="W100" s="3">
        <v>424.25</v>
      </c>
    </row>
    <row r="101" spans="1:24" x14ac:dyDescent="0.25">
      <c r="A101" s="3" t="s">
        <v>81</v>
      </c>
      <c r="B101" s="23">
        <v>1457</v>
      </c>
      <c r="C101" s="23"/>
      <c r="D101" s="32"/>
      <c r="E101" s="24">
        <f t="shared" si="0"/>
        <v>1457</v>
      </c>
      <c r="F101" s="3">
        <v>1414.07</v>
      </c>
      <c r="H101" s="3">
        <v>1596.75</v>
      </c>
      <c r="I101" s="24">
        <v>1895.72</v>
      </c>
      <c r="J101" s="24">
        <v>2166.48</v>
      </c>
      <c r="K101" s="3">
        <v>2071.21</v>
      </c>
      <c r="L101" s="3">
        <v>2115.21</v>
      </c>
      <c r="M101" s="58">
        <v>1771.27</v>
      </c>
      <c r="N101" s="3">
        <v>1894.77</v>
      </c>
      <c r="O101" s="3">
        <v>2221.6999999999998</v>
      </c>
      <c r="P101" s="24">
        <v>981.03</v>
      </c>
      <c r="Q101" s="24">
        <v>0</v>
      </c>
      <c r="R101" s="24">
        <v>0</v>
      </c>
      <c r="S101" s="42"/>
      <c r="T101" s="3">
        <v>1159.71</v>
      </c>
    </row>
    <row r="102" spans="1:24" x14ac:dyDescent="0.25">
      <c r="A102" s="3" t="s">
        <v>82</v>
      </c>
      <c r="B102" s="23"/>
      <c r="C102" s="23"/>
      <c r="D102" s="32"/>
      <c r="E102" s="24">
        <f t="shared" si="0"/>
        <v>0</v>
      </c>
      <c r="H102" s="3">
        <v>0</v>
      </c>
      <c r="I102" s="24">
        <v>0</v>
      </c>
      <c r="J102" s="24">
        <v>0</v>
      </c>
      <c r="K102" s="3">
        <v>0</v>
      </c>
      <c r="L102" s="3">
        <v>4077</v>
      </c>
      <c r="M102" s="58">
        <v>3761.85</v>
      </c>
      <c r="N102" s="3">
        <v>5327.32</v>
      </c>
      <c r="O102" s="3">
        <v>3823.55</v>
      </c>
      <c r="P102" s="24">
        <v>3354</v>
      </c>
      <c r="Q102" s="24">
        <v>2893.58</v>
      </c>
      <c r="R102" s="24">
        <v>3035</v>
      </c>
      <c r="S102" s="42">
        <v>2519.75</v>
      </c>
      <c r="T102" s="3">
        <v>1507.23</v>
      </c>
      <c r="U102" s="3">
        <v>1715.4</v>
      </c>
      <c r="V102" s="3">
        <v>1668.06</v>
      </c>
      <c r="W102" s="3">
        <v>586.25</v>
      </c>
      <c r="X102" s="3">
        <v>851.32</v>
      </c>
    </row>
    <row r="103" spans="1:24" x14ac:dyDescent="0.25">
      <c r="A103" s="3" t="s">
        <v>83</v>
      </c>
      <c r="B103" s="23">
        <v>946.01</v>
      </c>
      <c r="C103" s="23"/>
      <c r="D103" s="32"/>
      <c r="E103" s="24">
        <f t="shared" si="0"/>
        <v>946.01</v>
      </c>
      <c r="F103" s="3">
        <v>856</v>
      </c>
      <c r="H103" s="3">
        <v>571.77</v>
      </c>
      <c r="I103" s="24">
        <v>579</v>
      </c>
      <c r="J103" s="24"/>
      <c r="L103" s="3"/>
      <c r="M103" s="58"/>
      <c r="P103" s="24"/>
      <c r="Q103" s="24"/>
      <c r="R103" s="24"/>
      <c r="S103" s="42"/>
    </row>
    <row r="104" spans="1:24" x14ac:dyDescent="0.25">
      <c r="A104" s="3" t="s">
        <v>84</v>
      </c>
      <c r="B104" s="23">
        <v>2304.54</v>
      </c>
      <c r="C104" s="23"/>
      <c r="D104" s="32"/>
      <c r="E104" s="24">
        <f t="shared" si="0"/>
        <v>2304.54</v>
      </c>
      <c r="I104" s="24"/>
      <c r="J104" s="24"/>
      <c r="L104" s="3"/>
      <c r="M104" s="58"/>
      <c r="P104" s="24"/>
      <c r="Q104" s="24"/>
      <c r="R104" s="24"/>
      <c r="S104" s="42"/>
    </row>
    <row r="105" spans="1:24" x14ac:dyDescent="0.25">
      <c r="A105" s="3" t="s">
        <v>85</v>
      </c>
      <c r="B105" s="23">
        <f>7850+170</f>
        <v>8020</v>
      </c>
      <c r="C105" s="23"/>
      <c r="D105" s="32"/>
      <c r="E105" s="24">
        <f t="shared" si="0"/>
        <v>8020</v>
      </c>
      <c r="F105" s="3">
        <v>9146.9500000000007</v>
      </c>
      <c r="H105" s="3">
        <v>7722.77</v>
      </c>
      <c r="I105" s="24">
        <v>7803.18</v>
      </c>
      <c r="J105" s="24">
        <v>8785.08</v>
      </c>
      <c r="K105" s="3">
        <v>7292.66</v>
      </c>
      <c r="L105" s="3">
        <v>6056.57</v>
      </c>
      <c r="M105" s="58">
        <v>8360.11</v>
      </c>
      <c r="N105" s="3">
        <v>9516.65</v>
      </c>
      <c r="O105" s="3">
        <v>9370.15</v>
      </c>
      <c r="P105" s="24">
        <v>6350.98</v>
      </c>
      <c r="Q105" s="24">
        <v>5585.78</v>
      </c>
      <c r="R105" s="24">
        <v>6768.58</v>
      </c>
      <c r="S105" s="42">
        <v>6630.3</v>
      </c>
      <c r="T105" s="3">
        <v>8952.14</v>
      </c>
      <c r="U105" s="3">
        <v>7531.25</v>
      </c>
      <c r="V105" s="3">
        <v>6230.85</v>
      </c>
      <c r="W105" s="3">
        <v>5644.51</v>
      </c>
      <c r="X105" s="3">
        <v>5300.98</v>
      </c>
    </row>
    <row r="106" spans="1:24" x14ac:dyDescent="0.25">
      <c r="A106" s="3" t="s">
        <v>86</v>
      </c>
      <c r="B106" s="23"/>
      <c r="C106" s="23"/>
      <c r="D106" s="32"/>
      <c r="E106" s="24">
        <f t="shared" si="0"/>
        <v>0</v>
      </c>
      <c r="F106" s="3">
        <v>1943.5</v>
      </c>
      <c r="H106" s="3">
        <v>784.99</v>
      </c>
      <c r="I106" s="24">
        <v>1388.02</v>
      </c>
      <c r="J106" s="24">
        <v>958.98</v>
      </c>
      <c r="K106" s="3">
        <v>1027.8400000000001</v>
      </c>
      <c r="L106" s="3">
        <v>1467.38</v>
      </c>
      <c r="M106" s="3">
        <v>1520.79</v>
      </c>
      <c r="N106" s="3">
        <v>1390.87</v>
      </c>
      <c r="O106" s="3">
        <v>1428.77</v>
      </c>
      <c r="P106" s="24">
        <v>1717.51</v>
      </c>
      <c r="Q106" s="24">
        <v>1398.82</v>
      </c>
      <c r="R106" s="24">
        <v>1385.53</v>
      </c>
      <c r="S106" s="42">
        <v>975.45</v>
      </c>
      <c r="T106" s="3">
        <v>952.8</v>
      </c>
      <c r="U106" s="3">
        <v>842.11</v>
      </c>
      <c r="V106" s="3">
        <v>678.7</v>
      </c>
      <c r="W106" s="3">
        <v>1467.77</v>
      </c>
      <c r="X106" s="3">
        <v>967.2</v>
      </c>
    </row>
    <row r="107" spans="1:24" x14ac:dyDescent="0.25">
      <c r="A107" s="3" t="s">
        <v>87</v>
      </c>
      <c r="B107" s="23"/>
      <c r="C107" s="23"/>
      <c r="D107" s="32"/>
      <c r="E107" s="24">
        <f t="shared" si="0"/>
        <v>0</v>
      </c>
      <c r="H107" s="3">
        <v>2459.2600000000002</v>
      </c>
      <c r="I107" s="24">
        <v>1676.6399999999999</v>
      </c>
      <c r="J107" s="24"/>
      <c r="L107" s="3"/>
      <c r="P107" s="24"/>
      <c r="Q107" s="24"/>
      <c r="R107" s="24"/>
      <c r="S107" s="42"/>
    </row>
    <row r="108" spans="1:24" x14ac:dyDescent="0.25">
      <c r="A108" s="3" t="s">
        <v>88</v>
      </c>
      <c r="C108" s="23"/>
      <c r="D108" s="23"/>
      <c r="E108" s="24">
        <f t="shared" si="0"/>
        <v>0</v>
      </c>
      <c r="F108" s="3">
        <v>915.78</v>
      </c>
      <c r="H108" s="3">
        <v>1237.19</v>
      </c>
      <c r="I108" s="24">
        <v>1465.1100000000001</v>
      </c>
      <c r="J108" s="24">
        <v>637.71</v>
      </c>
      <c r="K108" s="3">
        <v>1323.04</v>
      </c>
      <c r="L108" s="3">
        <v>741.35</v>
      </c>
      <c r="M108" s="58">
        <v>1969.04</v>
      </c>
      <c r="N108" s="3">
        <v>3982.22</v>
      </c>
      <c r="O108" s="3">
        <v>2023.18</v>
      </c>
      <c r="P108" s="24">
        <v>2621.36</v>
      </c>
      <c r="Q108" s="24">
        <v>3349.77</v>
      </c>
      <c r="R108" s="24">
        <v>3036.4399999999996</v>
      </c>
      <c r="S108" s="42">
        <v>2814.15</v>
      </c>
      <c r="T108" s="3">
        <v>3308.11</v>
      </c>
      <c r="U108" s="3">
        <v>3147.05</v>
      </c>
      <c r="V108" s="3">
        <v>2461.5500000000002</v>
      </c>
      <c r="W108" s="3">
        <v>3414.85</v>
      </c>
      <c r="X108" s="3">
        <v>2959.41</v>
      </c>
    </row>
    <row r="109" spans="1:24" x14ac:dyDescent="0.25">
      <c r="A109" s="3" t="s">
        <v>89</v>
      </c>
      <c r="B109" s="32"/>
      <c r="C109" s="23"/>
      <c r="D109" s="23"/>
      <c r="E109" s="24">
        <f t="shared" si="0"/>
        <v>0</v>
      </c>
      <c r="H109" s="3">
        <v>686.06</v>
      </c>
      <c r="I109" s="24">
        <v>478.5</v>
      </c>
      <c r="J109" s="24">
        <v>721.7</v>
      </c>
      <c r="K109" s="3">
        <v>1097.45</v>
      </c>
      <c r="L109" s="3">
        <v>672.5</v>
      </c>
      <c r="M109" s="58">
        <v>871.45</v>
      </c>
      <c r="N109" s="3">
        <v>578.04</v>
      </c>
      <c r="O109" s="3">
        <v>861.96</v>
      </c>
      <c r="P109" s="24">
        <v>1025.54</v>
      </c>
      <c r="Q109" s="24">
        <v>995.18</v>
      </c>
      <c r="R109" s="24">
        <v>0</v>
      </c>
      <c r="S109" s="42">
        <v>791.07</v>
      </c>
      <c r="T109" s="3">
        <v>219.94</v>
      </c>
      <c r="U109" s="3">
        <v>1020.83</v>
      </c>
      <c r="V109" s="3">
        <v>580.69000000000005</v>
      </c>
      <c r="W109" s="3">
        <v>1488.12</v>
      </c>
      <c r="X109" s="3">
        <v>1158.47</v>
      </c>
    </row>
    <row r="110" spans="1:24" x14ac:dyDescent="0.25">
      <c r="A110" s="3" t="s">
        <v>90</v>
      </c>
      <c r="B110" s="23">
        <v>5725</v>
      </c>
      <c r="C110" s="23"/>
      <c r="D110" s="32">
        <v>410</v>
      </c>
      <c r="E110" s="24">
        <f t="shared" si="0"/>
        <v>5315</v>
      </c>
      <c r="F110" s="3">
        <v>4974</v>
      </c>
      <c r="H110" s="3">
        <v>3136.42</v>
      </c>
      <c r="I110" s="24">
        <v>2850.1</v>
      </c>
      <c r="J110" s="24">
        <v>0</v>
      </c>
      <c r="K110" s="3">
        <v>4541.24</v>
      </c>
      <c r="L110" s="3">
        <v>2745</v>
      </c>
      <c r="M110" s="3">
        <v>3579.7</v>
      </c>
      <c r="N110" s="3">
        <v>2776.29</v>
      </c>
      <c r="O110" s="3">
        <v>3223.79</v>
      </c>
      <c r="P110" s="24">
        <v>2214.36</v>
      </c>
      <c r="Q110" s="24">
        <v>1792.26</v>
      </c>
      <c r="R110" s="24">
        <v>1949.21</v>
      </c>
      <c r="S110" s="42">
        <v>1144.1500000000001</v>
      </c>
      <c r="T110" s="3">
        <v>750.21</v>
      </c>
      <c r="U110" s="3">
        <v>884.82</v>
      </c>
      <c r="V110" s="3">
        <v>767.66</v>
      </c>
      <c r="W110" s="3">
        <v>271.64</v>
      </c>
      <c r="X110" s="3">
        <v>598.6</v>
      </c>
    </row>
    <row r="111" spans="1:24" x14ac:dyDescent="0.25">
      <c r="A111" s="61" t="s">
        <v>91</v>
      </c>
      <c r="B111" s="23">
        <f>3681+15</f>
        <v>3696</v>
      </c>
      <c r="C111" s="23"/>
      <c r="D111" s="32">
        <v>1512.5</v>
      </c>
      <c r="E111" s="24">
        <f t="shared" si="0"/>
        <v>2183.5</v>
      </c>
      <c r="F111" s="3">
        <v>3991.25</v>
      </c>
      <c r="H111" s="3">
        <v>2432.9499999999998</v>
      </c>
      <c r="I111" s="24">
        <v>2808.1099999999997</v>
      </c>
      <c r="J111" s="24">
        <v>3244.3300000000004</v>
      </c>
      <c r="K111" s="3">
        <v>3142.5699999999997</v>
      </c>
      <c r="L111" s="3">
        <v>2128.52</v>
      </c>
      <c r="M111" s="58">
        <v>3507.07</v>
      </c>
      <c r="N111" s="3">
        <v>4546.84</v>
      </c>
      <c r="O111" s="3">
        <v>3513.96</v>
      </c>
      <c r="P111" s="24">
        <v>3575.98</v>
      </c>
      <c r="Q111" s="24">
        <v>2782.17</v>
      </c>
      <c r="R111" s="24">
        <v>1468.4799999999998</v>
      </c>
      <c r="S111" s="42">
        <v>1800.47</v>
      </c>
      <c r="T111" s="3">
        <v>1827.31</v>
      </c>
      <c r="U111" s="3">
        <v>1526.53</v>
      </c>
      <c r="V111" s="3">
        <v>1612.04</v>
      </c>
      <c r="W111" s="3">
        <v>915.06</v>
      </c>
      <c r="X111" s="3">
        <v>1667.02</v>
      </c>
    </row>
    <row r="112" spans="1:24" x14ac:dyDescent="0.25">
      <c r="A112" s="3" t="s">
        <v>92</v>
      </c>
      <c r="B112" s="23"/>
      <c r="C112" s="23"/>
      <c r="D112" s="32"/>
      <c r="E112" s="24">
        <f t="shared" si="0"/>
        <v>0</v>
      </c>
      <c r="H112" s="3">
        <v>3007.61</v>
      </c>
      <c r="I112" s="24">
        <v>2364</v>
      </c>
      <c r="J112" s="24">
        <v>2314</v>
      </c>
      <c r="K112" s="3">
        <v>1125</v>
      </c>
      <c r="L112" s="3">
        <v>937</v>
      </c>
      <c r="M112" s="58">
        <v>922</v>
      </c>
      <c r="P112" s="24"/>
      <c r="Q112" s="24"/>
      <c r="R112" s="24"/>
      <c r="S112" s="42"/>
    </row>
    <row r="113" spans="1:24" x14ac:dyDescent="0.25">
      <c r="A113" s="3" t="s">
        <v>93</v>
      </c>
      <c r="B113" s="4">
        <v>737</v>
      </c>
      <c r="C113" s="23"/>
      <c r="E113" s="24">
        <f t="shared" si="0"/>
        <v>737</v>
      </c>
      <c r="H113" s="3">
        <v>518.02</v>
      </c>
      <c r="I113" s="24">
        <v>619.5</v>
      </c>
      <c r="J113" s="24">
        <v>580.30999999999995</v>
      </c>
      <c r="K113" s="3">
        <v>387.45</v>
      </c>
      <c r="L113" s="3"/>
      <c r="M113" s="58">
        <v>170.45</v>
      </c>
      <c r="N113" s="3">
        <v>565</v>
      </c>
      <c r="P113" s="24"/>
      <c r="Q113" s="24"/>
      <c r="R113" s="24"/>
      <c r="S113" s="42"/>
    </row>
    <row r="114" spans="1:24" ht="16.5" thickBot="1" x14ac:dyDescent="0.3">
      <c r="A114" s="3" t="s">
        <v>94</v>
      </c>
      <c r="B114" s="62">
        <v>247</v>
      </c>
      <c r="C114" s="62"/>
      <c r="D114" s="63"/>
      <c r="E114" s="64">
        <f t="shared" si="0"/>
        <v>247</v>
      </c>
      <c r="F114" s="26">
        <v>347</v>
      </c>
      <c r="H114" s="3">
        <v>208.27</v>
      </c>
      <c r="I114" s="64">
        <v>483.31</v>
      </c>
      <c r="J114" s="64">
        <v>226.59000000000003</v>
      </c>
      <c r="K114" s="65">
        <v>259.28000000000003</v>
      </c>
      <c r="L114" s="65">
        <v>203.75</v>
      </c>
      <c r="M114" s="66">
        <v>237.35</v>
      </c>
      <c r="N114" s="65">
        <v>351.74</v>
      </c>
      <c r="O114" s="65">
        <v>294.10000000000002</v>
      </c>
      <c r="P114" s="64">
        <v>159.52000000000001</v>
      </c>
      <c r="Q114" s="64">
        <v>227.27</v>
      </c>
      <c r="R114" s="64">
        <v>301.77</v>
      </c>
      <c r="S114" s="67">
        <v>262.27</v>
      </c>
      <c r="T114" s="65">
        <v>240.29</v>
      </c>
      <c r="U114" s="65">
        <v>374</v>
      </c>
      <c r="V114" s="65">
        <v>334.59</v>
      </c>
      <c r="W114" s="65">
        <v>274.45999999999998</v>
      </c>
      <c r="X114" s="65">
        <v>412.46</v>
      </c>
    </row>
    <row r="115" spans="1:24" ht="16.5" thickTop="1" x14ac:dyDescent="0.25">
      <c r="A115" s="3" t="s">
        <v>95</v>
      </c>
      <c r="B115" s="68">
        <f t="shared" ref="B115:G115" si="1">SUM(B82:B114)</f>
        <v>113873.74999999999</v>
      </c>
      <c r="C115" s="68"/>
      <c r="D115" s="68">
        <f t="shared" si="1"/>
        <v>27013.509999999995</v>
      </c>
      <c r="E115" s="68">
        <f t="shared" si="1"/>
        <v>86860.239999999991</v>
      </c>
      <c r="F115" s="68">
        <f t="shared" si="1"/>
        <v>101324.54999999999</v>
      </c>
      <c r="G115" s="68">
        <f t="shared" si="1"/>
        <v>49321.2</v>
      </c>
      <c r="H115" s="68">
        <f>SUM(H82:H114)</f>
        <v>98832.640000000029</v>
      </c>
      <c r="I115" s="68">
        <f>SUM(I82:I114)</f>
        <v>95148.410000000033</v>
      </c>
      <c r="J115" s="24">
        <v>88029.66</v>
      </c>
      <c r="K115" s="3">
        <v>83491.360000000001</v>
      </c>
      <c r="L115" s="3">
        <v>66270.070000000007</v>
      </c>
      <c r="M115" s="58">
        <v>110241.52</v>
      </c>
      <c r="N115" s="3">
        <v>111606.48</v>
      </c>
      <c r="O115" s="24">
        <f>SUM(O84:O114)</f>
        <v>85511.650000000023</v>
      </c>
      <c r="P115" s="24">
        <f>SUM(P84:P114)</f>
        <v>94048.019999999975</v>
      </c>
      <c r="Q115" s="24">
        <v>92419.08</v>
      </c>
      <c r="R115" s="24">
        <v>71838.73</v>
      </c>
      <c r="S115" s="3">
        <f>SUM(S84:S114)</f>
        <v>67204.720000000016</v>
      </c>
      <c r="T115" s="3">
        <f>SUM(T84:T114)</f>
        <v>56857.810000000012</v>
      </c>
      <c r="U115" s="3">
        <f>SUM(U84:U114)</f>
        <v>57046.59</v>
      </c>
      <c r="V115" s="3">
        <f>SUM(V85:V114)</f>
        <v>47912.799999999996</v>
      </c>
      <c r="W115" s="3">
        <f>SUM(W85:W114)</f>
        <v>50865.21</v>
      </c>
      <c r="X115" s="3">
        <f>SUM(X85:X114)</f>
        <v>45220.99</v>
      </c>
    </row>
    <row r="116" spans="1:24" x14ac:dyDescent="0.25">
      <c r="B116" s="23"/>
      <c r="C116" s="23"/>
      <c r="D116" s="24"/>
      <c r="E116" s="24"/>
      <c r="F116" s="24"/>
      <c r="I116" s="24"/>
      <c r="J116" s="24"/>
      <c r="L116" s="3"/>
      <c r="P116" s="24"/>
      <c r="Q116" s="24"/>
      <c r="R116" s="24"/>
      <c r="S116" s="42"/>
    </row>
    <row r="117" spans="1:24" ht="20.100000000000001" customHeight="1" x14ac:dyDescent="0.25">
      <c r="C117" s="23"/>
      <c r="D117" s="24"/>
      <c r="E117" s="24"/>
      <c r="F117" s="24"/>
      <c r="G117" s="24"/>
      <c r="H117" s="24"/>
      <c r="L117" s="3"/>
      <c r="N117" s="24"/>
      <c r="O117" s="24"/>
      <c r="P117" s="24"/>
      <c r="Q117" s="42"/>
      <c r="V117" s="1"/>
    </row>
    <row r="118" spans="1:24" ht="18" customHeight="1" x14ac:dyDescent="0.25">
      <c r="A118" s="47" t="s">
        <v>96</v>
      </c>
      <c r="B118" s="23"/>
      <c r="C118" s="23"/>
      <c r="D118" s="29"/>
      <c r="E118" s="47">
        <v>2022</v>
      </c>
      <c r="F118" s="47">
        <v>2021</v>
      </c>
      <c r="G118" s="47">
        <v>2020</v>
      </c>
      <c r="H118" s="47">
        <v>2019</v>
      </c>
      <c r="I118" s="47">
        <v>2018</v>
      </c>
      <c r="J118" s="47">
        <v>2017</v>
      </c>
      <c r="K118" s="47">
        <v>2016</v>
      </c>
      <c r="L118" s="47">
        <v>2015</v>
      </c>
      <c r="M118" s="47">
        <v>2014</v>
      </c>
      <c r="N118" s="47">
        <v>2013</v>
      </c>
      <c r="O118" s="47">
        <v>2012</v>
      </c>
      <c r="P118" s="47">
        <v>2011</v>
      </c>
      <c r="Q118" s="69">
        <v>2010</v>
      </c>
      <c r="R118" s="47">
        <v>2009</v>
      </c>
      <c r="S118" s="47">
        <v>2008</v>
      </c>
      <c r="T118" s="47">
        <v>2006</v>
      </c>
      <c r="U118" s="47">
        <v>2005</v>
      </c>
      <c r="V118" s="47">
        <v>2004</v>
      </c>
      <c r="W118" s="47">
        <v>2003</v>
      </c>
      <c r="X118" s="47">
        <v>2002</v>
      </c>
    </row>
    <row r="119" spans="1:24" s="69" customFormat="1" ht="19.149999999999999" customHeight="1" x14ac:dyDescent="0.25">
      <c r="A119" s="3"/>
      <c r="B119" s="70" t="s">
        <v>57</v>
      </c>
      <c r="C119" s="70"/>
      <c r="D119" s="71" t="s">
        <v>58</v>
      </c>
      <c r="E119" s="71" t="s">
        <v>59</v>
      </c>
      <c r="F119" s="71" t="s">
        <v>59</v>
      </c>
      <c r="G119" s="52" t="s">
        <v>59</v>
      </c>
      <c r="H119" s="71" t="s">
        <v>59</v>
      </c>
      <c r="I119" s="77" t="s">
        <v>59</v>
      </c>
      <c r="J119" s="72" t="s">
        <v>59</v>
      </c>
      <c r="K119" s="51" t="s">
        <v>59</v>
      </c>
      <c r="L119" s="71" t="s">
        <v>59</v>
      </c>
      <c r="M119" s="71" t="s">
        <v>59</v>
      </c>
      <c r="N119" s="71" t="s">
        <v>59</v>
      </c>
      <c r="O119" s="71" t="s">
        <v>59</v>
      </c>
      <c r="P119" s="71" t="s">
        <v>59</v>
      </c>
      <c r="Q119" s="31" t="s">
        <v>97</v>
      </c>
      <c r="R119" s="72" t="s">
        <v>59</v>
      </c>
      <c r="S119" s="54" t="s">
        <v>59</v>
      </c>
      <c r="T119" s="54" t="s">
        <v>59</v>
      </c>
      <c r="U119" s="54" t="s">
        <v>59</v>
      </c>
      <c r="V119" s="54" t="s">
        <v>59</v>
      </c>
      <c r="W119" s="54" t="s">
        <v>59</v>
      </c>
      <c r="X119" s="54" t="s">
        <v>59</v>
      </c>
    </row>
    <row r="120" spans="1:24" x14ac:dyDescent="0.25">
      <c r="A120" s="3" t="s">
        <v>98</v>
      </c>
      <c r="B120" s="82">
        <v>1128.5</v>
      </c>
      <c r="C120" s="83"/>
      <c r="D120" s="80"/>
      <c r="E120" s="80">
        <f t="shared" ref="E120:E127" si="2">B120-D120</f>
        <v>1128.5</v>
      </c>
      <c r="F120" s="80">
        <v>1367.6</v>
      </c>
      <c r="G120" s="80"/>
      <c r="H120" s="80">
        <v>1414.9</v>
      </c>
      <c r="I120" s="80">
        <v>1378.49</v>
      </c>
      <c r="J120" s="80"/>
      <c r="K120" s="80"/>
      <c r="L120" s="80"/>
      <c r="M120" s="84"/>
      <c r="N120" s="80"/>
      <c r="O120" s="80"/>
      <c r="P120" s="80"/>
      <c r="Q120" s="80"/>
      <c r="R120" s="80"/>
      <c r="S120" s="85"/>
      <c r="T120" s="80"/>
      <c r="U120" s="80"/>
      <c r="V120" s="80"/>
      <c r="W120" s="80"/>
      <c r="X120" s="80"/>
    </row>
    <row r="121" spans="1:24" x14ac:dyDescent="0.25">
      <c r="A121" s="3" t="s">
        <v>99</v>
      </c>
      <c r="B121" s="83">
        <v>2314</v>
      </c>
      <c r="C121" s="83"/>
      <c r="D121" s="85"/>
      <c r="E121" s="80">
        <f t="shared" si="2"/>
        <v>2314</v>
      </c>
      <c r="F121" s="80">
        <v>3765</v>
      </c>
      <c r="G121" s="80"/>
      <c r="H121" s="80">
        <v>3877.42</v>
      </c>
      <c r="I121" s="80">
        <v>3327.01</v>
      </c>
      <c r="J121" s="80">
        <v>3617.31</v>
      </c>
      <c r="K121" s="80">
        <v>3165.76</v>
      </c>
      <c r="L121" s="80">
        <v>2482.5</v>
      </c>
      <c r="M121" s="84">
        <v>2882.25</v>
      </c>
      <c r="N121" s="80">
        <v>3237.5</v>
      </c>
      <c r="O121" s="80">
        <v>2506.5</v>
      </c>
      <c r="P121" s="80">
        <v>2271</v>
      </c>
      <c r="Q121" s="80">
        <v>1951.36</v>
      </c>
      <c r="R121" s="80">
        <v>2462.5</v>
      </c>
      <c r="S121" s="85">
        <v>2140</v>
      </c>
      <c r="T121" s="80">
        <v>3565.76</v>
      </c>
      <c r="U121" s="80">
        <v>3068.85</v>
      </c>
      <c r="V121" s="80">
        <v>3531.25</v>
      </c>
      <c r="W121" s="80"/>
      <c r="X121" s="80"/>
    </row>
    <row r="122" spans="1:24" x14ac:dyDescent="0.25">
      <c r="A122" s="3" t="s">
        <v>100</v>
      </c>
      <c r="B122" s="83">
        <v>463</v>
      </c>
      <c r="C122" s="83"/>
      <c r="D122" s="85"/>
      <c r="E122" s="80">
        <f t="shared" si="2"/>
        <v>463</v>
      </c>
      <c r="F122" s="80">
        <v>426.5</v>
      </c>
      <c r="G122" s="80"/>
      <c r="H122" s="80">
        <v>950.02</v>
      </c>
      <c r="I122" s="80">
        <v>987.5</v>
      </c>
      <c r="J122" s="80">
        <v>873.4</v>
      </c>
      <c r="K122" s="80">
        <v>0</v>
      </c>
      <c r="L122" s="80">
        <v>2706.1</v>
      </c>
      <c r="M122" s="84">
        <v>3033.07</v>
      </c>
      <c r="N122" s="80">
        <v>3087.56</v>
      </c>
      <c r="O122" s="80">
        <v>2252.48</v>
      </c>
      <c r="P122" s="80">
        <v>2101.3200000000002</v>
      </c>
      <c r="Q122" s="80">
        <v>1541.98</v>
      </c>
      <c r="R122" s="80">
        <v>0</v>
      </c>
      <c r="S122" s="85">
        <v>1646.57</v>
      </c>
      <c r="T122" s="80">
        <v>724.95</v>
      </c>
      <c r="U122" s="80">
        <v>1249.4000000000001</v>
      </c>
      <c r="V122" s="80">
        <v>526.70000000000005</v>
      </c>
      <c r="W122" s="80"/>
      <c r="X122" s="80"/>
    </row>
    <row r="123" spans="1:24" x14ac:dyDescent="0.25">
      <c r="A123" s="3" t="s">
        <v>101</v>
      </c>
      <c r="B123" s="83">
        <f>132060.74+9429.78+25-3500+419.52-3500</f>
        <v>134935.03999999998</v>
      </c>
      <c r="C123" s="83"/>
      <c r="D123" s="83">
        <f>480.69+2518+297+134.09+6000-2815+1140.39</f>
        <v>7755.170000000001</v>
      </c>
      <c r="E123" s="80">
        <f>B123-D123</f>
        <v>127179.86999999998</v>
      </c>
      <c r="F123" s="80">
        <v>140733.29</v>
      </c>
      <c r="G123" s="80">
        <v>90432.49</v>
      </c>
      <c r="H123" s="80">
        <v>117826.16</v>
      </c>
      <c r="I123" s="80">
        <v>107254.81</v>
      </c>
      <c r="J123" s="80">
        <v>114648.26999999999</v>
      </c>
      <c r="K123" s="80">
        <v>120601.03</v>
      </c>
      <c r="L123" s="80">
        <v>108113.87</v>
      </c>
      <c r="M123" s="84">
        <v>120958.2</v>
      </c>
      <c r="N123" s="80">
        <v>107967.67</v>
      </c>
      <c r="O123" s="80">
        <v>108941.64</v>
      </c>
      <c r="P123" s="80">
        <v>93880.9</v>
      </c>
      <c r="Q123" s="80">
        <v>105863.52</v>
      </c>
      <c r="R123" s="80">
        <v>104599.78</v>
      </c>
      <c r="S123" s="85">
        <v>125741.24</v>
      </c>
      <c r="T123" s="80">
        <v>132115.85999999999</v>
      </c>
      <c r="U123" s="80">
        <v>116965.54</v>
      </c>
      <c r="V123" s="80">
        <v>104652.43</v>
      </c>
      <c r="W123" s="80">
        <v>96748.9</v>
      </c>
      <c r="X123" s="80">
        <v>101982.35</v>
      </c>
    </row>
    <row r="124" spans="1:24" x14ac:dyDescent="0.25">
      <c r="A124" s="3" t="s">
        <v>102</v>
      </c>
      <c r="B124" s="83">
        <v>3336.75</v>
      </c>
      <c r="C124" s="83"/>
      <c r="D124" s="85"/>
      <c r="E124" s="80">
        <f t="shared" si="2"/>
        <v>3336.75</v>
      </c>
      <c r="F124" s="80">
        <v>4515.3500000000004</v>
      </c>
      <c r="G124" s="80">
        <v>1017</v>
      </c>
      <c r="H124" s="80">
        <v>2859.86</v>
      </c>
      <c r="I124" s="80">
        <v>3011</v>
      </c>
      <c r="J124" s="80">
        <v>2358.7800000000002</v>
      </c>
      <c r="K124" s="80">
        <v>1684.5</v>
      </c>
      <c r="L124" s="80">
        <v>1171</v>
      </c>
      <c r="M124" s="84">
        <v>1539.8</v>
      </c>
      <c r="N124" s="80">
        <v>1664.77</v>
      </c>
      <c r="O124" s="80">
        <v>1461.7</v>
      </c>
      <c r="P124" s="80">
        <v>1267.9000000000001</v>
      </c>
      <c r="Q124" s="80">
        <v>1019.75</v>
      </c>
      <c r="R124" s="80">
        <v>1292.75</v>
      </c>
      <c r="S124" s="85">
        <v>1922.45</v>
      </c>
      <c r="T124" s="80">
        <v>1142.97</v>
      </c>
      <c r="U124" s="80" t="s">
        <v>103</v>
      </c>
      <c r="V124" s="80">
        <v>1649.25</v>
      </c>
      <c r="W124" s="80">
        <v>1292.44</v>
      </c>
      <c r="X124" s="80">
        <v>1209.1400000000001</v>
      </c>
    </row>
    <row r="125" spans="1:24" ht="31.5" x14ac:dyDescent="0.25">
      <c r="A125" s="57" t="s">
        <v>104</v>
      </c>
      <c r="B125" s="83">
        <f>500+289.04+96.02+3500</f>
        <v>4385.0599999999995</v>
      </c>
      <c r="C125" s="83"/>
      <c r="D125" s="85"/>
      <c r="E125" s="80">
        <f t="shared" si="2"/>
        <v>4385.0599999999995</v>
      </c>
      <c r="F125" s="80">
        <v>3300</v>
      </c>
      <c r="G125" s="80"/>
      <c r="H125" s="80">
        <v>5750.5</v>
      </c>
      <c r="I125" s="80">
        <v>5300</v>
      </c>
      <c r="J125" s="80">
        <v>10650</v>
      </c>
      <c r="K125" s="80">
        <v>13200</v>
      </c>
      <c r="L125" s="80">
        <v>8175</v>
      </c>
      <c r="M125" s="84"/>
      <c r="N125" s="80"/>
      <c r="O125" s="80"/>
      <c r="P125" s="80"/>
      <c r="Q125" s="80"/>
      <c r="R125" s="80"/>
      <c r="S125" s="85"/>
      <c r="T125" s="80"/>
      <c r="U125" s="80"/>
      <c r="V125" s="80"/>
      <c r="W125" s="80"/>
      <c r="X125" s="80"/>
    </row>
    <row r="126" spans="1:24" x14ac:dyDescent="0.25">
      <c r="A126" s="3" t="s">
        <v>105</v>
      </c>
      <c r="B126" s="83">
        <v>660</v>
      </c>
      <c r="C126" s="83" t="s">
        <v>136</v>
      </c>
      <c r="D126" s="85"/>
      <c r="E126" s="80">
        <f t="shared" si="2"/>
        <v>660</v>
      </c>
      <c r="F126" s="80">
        <v>880</v>
      </c>
      <c r="G126" s="80">
        <v>1270</v>
      </c>
      <c r="H126" s="80">
        <v>0</v>
      </c>
      <c r="I126" s="80">
        <v>464.31</v>
      </c>
      <c r="J126" s="80">
        <v>0</v>
      </c>
      <c r="K126" s="80">
        <v>355</v>
      </c>
      <c r="L126" s="80">
        <v>250</v>
      </c>
      <c r="M126" s="80"/>
      <c r="N126" s="80"/>
      <c r="O126" s="80"/>
      <c r="P126" s="80"/>
      <c r="Q126" s="80">
        <v>450</v>
      </c>
      <c r="R126" s="80">
        <v>0</v>
      </c>
      <c r="S126" s="85">
        <v>-12342.77</v>
      </c>
      <c r="T126" s="80">
        <v>0</v>
      </c>
      <c r="U126" s="80">
        <v>2309.08</v>
      </c>
      <c r="V126" s="80"/>
      <c r="W126" s="80">
        <v>236</v>
      </c>
      <c r="X126" s="80"/>
    </row>
    <row r="127" spans="1:24" ht="16.5" thickBot="1" x14ac:dyDescent="0.3">
      <c r="A127" s="3" t="s">
        <v>106</v>
      </c>
      <c r="B127" s="86"/>
      <c r="C127" s="86"/>
      <c r="D127" s="87"/>
      <c r="E127" s="81">
        <f t="shared" si="2"/>
        <v>0</v>
      </c>
      <c r="F127" s="81">
        <f t="shared" ref="F127" si="3">C127-E127</f>
        <v>0</v>
      </c>
      <c r="G127" s="81">
        <f t="shared" ref="G127" si="4">D127-F127</f>
        <v>0</v>
      </c>
      <c r="H127" s="81">
        <v>385.43</v>
      </c>
      <c r="I127" s="81">
        <v>0</v>
      </c>
      <c r="J127" s="81">
        <v>0</v>
      </c>
      <c r="K127" s="81">
        <v>3650</v>
      </c>
      <c r="L127" s="81"/>
      <c r="M127" s="88"/>
      <c r="N127" s="81">
        <v>972.12</v>
      </c>
      <c r="O127" s="81">
        <v>3869.35</v>
      </c>
      <c r="P127" s="81">
        <v>6007</v>
      </c>
      <c r="Q127" s="81">
        <v>5281</v>
      </c>
      <c r="R127" s="81">
        <v>6682</v>
      </c>
      <c r="S127" s="87">
        <v>5095</v>
      </c>
      <c r="T127" s="81">
        <v>4801</v>
      </c>
      <c r="U127" s="81">
        <v>4799</v>
      </c>
      <c r="V127" s="81">
        <v>3913</v>
      </c>
      <c r="W127" s="81">
        <v>4679</v>
      </c>
      <c r="X127" s="81">
        <v>3856</v>
      </c>
    </row>
    <row r="128" spans="1:24" ht="16.5" thickTop="1" x14ac:dyDescent="0.25">
      <c r="A128" s="1" t="s">
        <v>24</v>
      </c>
      <c r="B128" s="23">
        <f>SUM(B120:B127)</f>
        <v>147222.34999999998</v>
      </c>
      <c r="C128" s="23"/>
      <c r="D128" s="23">
        <f t="shared" ref="D128:I128" si="5">SUM(D120:D127)</f>
        <v>7755.170000000001</v>
      </c>
      <c r="E128" s="23">
        <f t="shared" si="5"/>
        <v>139467.18</v>
      </c>
      <c r="F128" s="23">
        <f t="shared" si="5"/>
        <v>154987.74000000002</v>
      </c>
      <c r="G128" s="23">
        <f t="shared" si="5"/>
        <v>92719.49</v>
      </c>
      <c r="H128" s="23">
        <f t="shared" si="5"/>
        <v>133064.28999999998</v>
      </c>
      <c r="I128" s="23">
        <f t="shared" si="5"/>
        <v>121723.12</v>
      </c>
      <c r="J128" s="23">
        <v>139861.09</v>
      </c>
      <c r="K128" s="3">
        <v>155013.29</v>
      </c>
      <c r="L128" s="3">
        <v>132785.07999999999</v>
      </c>
      <c r="M128" s="58">
        <v>133369.64000000001</v>
      </c>
      <c r="N128" s="3">
        <v>118322.77</v>
      </c>
      <c r="O128" s="24">
        <f>SUM(O120:O127)</f>
        <v>119031.67</v>
      </c>
      <c r="P128" s="24">
        <f>SUM(P120:P127)</f>
        <v>105528.12</v>
      </c>
      <c r="Q128" s="24">
        <v>127058.07</v>
      </c>
      <c r="R128" s="24">
        <v>126325.69</v>
      </c>
      <c r="S128" s="3">
        <f t="shared" ref="S128:X128" si="6">SUM(S120:S127)</f>
        <v>124202.49</v>
      </c>
      <c r="T128" s="3">
        <f t="shared" si="6"/>
        <v>142350.53999999998</v>
      </c>
      <c r="U128" s="3">
        <f t="shared" si="6"/>
        <v>128391.87</v>
      </c>
      <c r="V128" s="3">
        <f t="shared" si="6"/>
        <v>114272.62999999999</v>
      </c>
      <c r="W128" s="3">
        <f t="shared" si="6"/>
        <v>102956.34</v>
      </c>
      <c r="X128" s="3">
        <f t="shared" si="6"/>
        <v>107047.49</v>
      </c>
    </row>
    <row r="129" spans="1:24" x14ac:dyDescent="0.25">
      <c r="A129" s="1"/>
      <c r="B129" s="23"/>
      <c r="C129" s="23"/>
      <c r="D129" s="23"/>
      <c r="E129" s="24"/>
      <c r="F129" s="24"/>
      <c r="H129" s="24"/>
      <c r="I129" s="24"/>
      <c r="J129" s="24"/>
      <c r="L129" s="3"/>
      <c r="M129" s="58"/>
      <c r="O129" s="24"/>
      <c r="P129" s="24"/>
      <c r="Q129" s="24"/>
      <c r="R129" s="24"/>
    </row>
    <row r="130" spans="1:24" ht="16.5" customHeight="1" x14ac:dyDescent="0.25">
      <c r="A130" s="47" t="s">
        <v>107</v>
      </c>
      <c r="B130" s="23"/>
      <c r="C130" s="23"/>
      <c r="D130" s="29"/>
      <c r="E130" s="47">
        <v>2022</v>
      </c>
      <c r="F130" s="47">
        <v>2021</v>
      </c>
      <c r="G130" s="47">
        <v>2020</v>
      </c>
      <c r="H130" s="47">
        <v>2019</v>
      </c>
      <c r="I130" s="47">
        <v>2018</v>
      </c>
      <c r="J130" s="47">
        <v>2017</v>
      </c>
      <c r="K130" s="47">
        <v>2016</v>
      </c>
      <c r="L130" s="47">
        <v>2015</v>
      </c>
      <c r="M130" s="47">
        <v>2014</v>
      </c>
      <c r="N130" s="47">
        <v>2013</v>
      </c>
      <c r="O130" s="47">
        <v>2012</v>
      </c>
      <c r="P130" s="47">
        <v>2011</v>
      </c>
      <c r="Q130" s="69">
        <v>2010</v>
      </c>
      <c r="R130" s="47">
        <v>2009</v>
      </c>
      <c r="S130" s="47">
        <v>2008</v>
      </c>
      <c r="T130" s="47">
        <v>2006</v>
      </c>
      <c r="U130" s="47">
        <v>2005</v>
      </c>
      <c r="V130" s="47">
        <v>2004</v>
      </c>
      <c r="W130" s="47">
        <v>2003</v>
      </c>
      <c r="X130" s="47">
        <v>2002</v>
      </c>
    </row>
    <row r="131" spans="1:24" s="69" customFormat="1" ht="19.149999999999999" customHeight="1" x14ac:dyDescent="0.25">
      <c r="A131" s="3"/>
      <c r="B131" s="70" t="s">
        <v>57</v>
      </c>
      <c r="C131" s="70"/>
      <c r="D131" s="71"/>
      <c r="E131" s="71" t="s">
        <v>59</v>
      </c>
      <c r="F131" s="71" t="s">
        <v>59</v>
      </c>
      <c r="G131" s="71" t="s">
        <v>59</v>
      </c>
      <c r="H131" s="71" t="s">
        <v>59</v>
      </c>
      <c r="I131" s="77" t="s">
        <v>59</v>
      </c>
      <c r="J131" s="72" t="s">
        <v>59</v>
      </c>
      <c r="K131" s="51" t="s">
        <v>59</v>
      </c>
      <c r="L131" s="71" t="s">
        <v>59</v>
      </c>
      <c r="M131" s="71" t="s">
        <v>59</v>
      </c>
      <c r="N131" s="71" t="s">
        <v>59</v>
      </c>
      <c r="O131" s="71" t="s">
        <v>59</v>
      </c>
      <c r="P131" s="71" t="s">
        <v>59</v>
      </c>
      <c r="Q131" s="31" t="s">
        <v>97</v>
      </c>
      <c r="R131" s="72" t="s">
        <v>59</v>
      </c>
      <c r="S131" s="54" t="s">
        <v>59</v>
      </c>
      <c r="T131" s="54" t="s">
        <v>59</v>
      </c>
      <c r="U131" s="54" t="s">
        <v>59</v>
      </c>
      <c r="V131" s="54" t="s">
        <v>59</v>
      </c>
      <c r="W131" s="54" t="s">
        <v>59</v>
      </c>
      <c r="X131" s="54" t="s">
        <v>59</v>
      </c>
    </row>
    <row r="132" spans="1:24" x14ac:dyDescent="0.25">
      <c r="A132" s="3" t="s">
        <v>108</v>
      </c>
      <c r="B132" s="23"/>
      <c r="C132" s="23"/>
      <c r="E132" s="24">
        <f>B132-D132</f>
        <v>0</v>
      </c>
      <c r="H132" s="3">
        <v>0</v>
      </c>
      <c r="I132" s="24">
        <v>0</v>
      </c>
      <c r="J132" s="24">
        <v>0</v>
      </c>
      <c r="K132" s="3">
        <v>0</v>
      </c>
      <c r="L132" s="3"/>
      <c r="M132" s="58">
        <v>1536.5</v>
      </c>
      <c r="N132" s="3">
        <v>276.33</v>
      </c>
      <c r="O132" s="3">
        <v>4024.53</v>
      </c>
      <c r="P132" s="24"/>
      <c r="Q132" s="24">
        <v>171.95</v>
      </c>
      <c r="R132" s="24"/>
      <c r="S132" s="42">
        <v>2947.55</v>
      </c>
      <c r="T132" s="3">
        <v>2032.45</v>
      </c>
      <c r="U132" s="3">
        <v>4225.72</v>
      </c>
      <c r="V132" s="3">
        <v>4178</v>
      </c>
      <c r="W132" s="3">
        <v>3002.76</v>
      </c>
      <c r="X132" s="3">
        <v>2659.89</v>
      </c>
    </row>
    <row r="133" spans="1:24" x14ac:dyDescent="0.25">
      <c r="A133" s="3" t="s">
        <v>109</v>
      </c>
      <c r="B133" s="23">
        <v>6019.56</v>
      </c>
      <c r="C133" s="23"/>
      <c r="D133" s="32">
        <v>3303</v>
      </c>
      <c r="E133" s="24">
        <f>B133-D133</f>
        <v>2716.5600000000004</v>
      </c>
      <c r="F133" s="3">
        <v>4120.09</v>
      </c>
      <c r="H133" s="3">
        <v>4338</v>
      </c>
      <c r="I133" s="24">
        <v>4474.17</v>
      </c>
      <c r="J133" s="24">
        <v>4061.130000000001</v>
      </c>
      <c r="K133" s="3">
        <v>4347.2900000000009</v>
      </c>
      <c r="L133" s="3">
        <v>3117.04</v>
      </c>
      <c r="M133" s="58">
        <v>3194.12</v>
      </c>
      <c r="N133" s="3">
        <v>3273.38</v>
      </c>
      <c r="O133" s="3">
        <v>3173.35</v>
      </c>
      <c r="P133" s="24"/>
      <c r="Q133" s="24">
        <v>3610.33</v>
      </c>
      <c r="R133" s="24">
        <v>3278.2799999999997</v>
      </c>
      <c r="S133" s="42">
        <v>2750.23</v>
      </c>
      <c r="T133" s="3">
        <v>2673.55</v>
      </c>
      <c r="U133" s="3">
        <v>3024.1</v>
      </c>
      <c r="V133" s="3">
        <v>2608.71</v>
      </c>
      <c r="W133" s="3">
        <v>2313.71</v>
      </c>
      <c r="X133" s="3">
        <v>1708.48</v>
      </c>
    </row>
    <row r="134" spans="1:24" x14ac:dyDescent="0.25">
      <c r="A134" s="3" t="s">
        <v>110</v>
      </c>
      <c r="B134" s="23">
        <f>5066.69+548.5</f>
        <v>5615.19</v>
      </c>
      <c r="C134" s="23"/>
      <c r="D134" s="32">
        <f>2460+592.31</f>
        <v>3052.31</v>
      </c>
      <c r="E134" s="24">
        <f>B134-D134</f>
        <v>2562.8799999999997</v>
      </c>
      <c r="H134" s="3">
        <v>4401.45</v>
      </c>
      <c r="I134" s="24">
        <v>4016.48</v>
      </c>
      <c r="J134" s="24">
        <v>4984.92</v>
      </c>
      <c r="K134" s="3">
        <v>5118.16</v>
      </c>
      <c r="L134" s="3">
        <v>5268.6</v>
      </c>
      <c r="M134" s="58">
        <v>1676.69</v>
      </c>
      <c r="N134" s="3">
        <v>5994.36</v>
      </c>
      <c r="O134" s="3">
        <v>2744.47</v>
      </c>
      <c r="P134" s="24">
        <v>5539.14</v>
      </c>
      <c r="Q134" s="24">
        <v>2881.99</v>
      </c>
      <c r="R134" s="24">
        <v>3639.3500000000004</v>
      </c>
      <c r="S134" s="42"/>
      <c r="T134" s="3">
        <v>101</v>
      </c>
      <c r="U134" s="3">
        <v>260.7</v>
      </c>
      <c r="V134" s="3">
        <v>383.71</v>
      </c>
      <c r="W134" s="3">
        <v>240.2</v>
      </c>
      <c r="X134" s="3">
        <v>94.35</v>
      </c>
    </row>
    <row r="135" spans="1:24" x14ac:dyDescent="0.25">
      <c r="A135" s="3" t="s">
        <v>111</v>
      </c>
      <c r="B135" s="23">
        <v>449.46</v>
      </c>
      <c r="C135" s="23"/>
      <c r="D135" s="32"/>
      <c r="E135" s="24">
        <f>B135-D135</f>
        <v>449.46</v>
      </c>
      <c r="F135" s="3">
        <v>1112</v>
      </c>
      <c r="H135" s="3">
        <v>734</v>
      </c>
      <c r="I135" s="24">
        <v>391</v>
      </c>
      <c r="J135" s="24">
        <v>386.5</v>
      </c>
      <c r="K135" s="3">
        <v>853</v>
      </c>
      <c r="L135" s="3">
        <v>477</v>
      </c>
      <c r="M135" s="58">
        <v>1171</v>
      </c>
      <c r="N135" s="3">
        <v>1349.93</v>
      </c>
      <c r="O135" s="3">
        <v>1100.9000000000001</v>
      </c>
      <c r="P135" s="24">
        <v>1097</v>
      </c>
      <c r="Q135" s="24">
        <v>887</v>
      </c>
      <c r="R135" s="24">
        <v>1147</v>
      </c>
      <c r="S135" s="42">
        <v>761</v>
      </c>
      <c r="T135" s="3">
        <v>184.5</v>
      </c>
      <c r="U135" s="3">
        <v>715</v>
      </c>
      <c r="V135" s="3">
        <v>817</v>
      </c>
      <c r="W135" s="3">
        <v>549</v>
      </c>
      <c r="X135" s="3">
        <v>677</v>
      </c>
    </row>
    <row r="136" spans="1:24" ht="16.5" thickBot="1" x14ac:dyDescent="0.3">
      <c r="A136" s="3" t="s">
        <v>112</v>
      </c>
      <c r="B136" s="62"/>
      <c r="C136" s="62"/>
      <c r="D136" s="63"/>
      <c r="E136" s="64">
        <f>B136-D136</f>
        <v>0</v>
      </c>
      <c r="F136" s="64"/>
      <c r="H136" s="3">
        <v>0</v>
      </c>
      <c r="I136" s="64">
        <v>0</v>
      </c>
      <c r="J136" s="64">
        <v>1250</v>
      </c>
      <c r="K136" s="65">
        <v>0</v>
      </c>
      <c r="L136" s="65"/>
      <c r="M136" s="66">
        <v>1897.45</v>
      </c>
      <c r="N136" s="65">
        <v>1616</v>
      </c>
      <c r="O136" s="65"/>
      <c r="P136" s="64">
        <v>250</v>
      </c>
      <c r="Q136" s="64">
        <v>0</v>
      </c>
      <c r="R136" s="64">
        <v>1526.71</v>
      </c>
      <c r="S136" s="67">
        <v>1080.56</v>
      </c>
      <c r="T136" s="65">
        <v>997.3</v>
      </c>
      <c r="U136" s="65">
        <v>883.81</v>
      </c>
      <c r="V136" s="65"/>
      <c r="W136" s="65"/>
      <c r="X136" s="65"/>
    </row>
    <row r="137" spans="1:24" ht="16.5" thickTop="1" x14ac:dyDescent="0.25">
      <c r="A137" s="3" t="s">
        <v>113</v>
      </c>
      <c r="B137" s="23">
        <f>SUM(B132:B136)</f>
        <v>12084.21</v>
      </c>
      <c r="C137" s="23"/>
      <c r="D137" s="24">
        <f>SUM(D132:D136)</f>
        <v>6355.3099999999995</v>
      </c>
      <c r="E137" s="24">
        <f>SUM(E132:E136)</f>
        <v>5728.9000000000005</v>
      </c>
      <c r="F137" s="24">
        <f>SUM(F132:F136)</f>
        <v>5232.09</v>
      </c>
      <c r="G137" s="73"/>
      <c r="H137" s="68">
        <f>SUM(H132:H136)</f>
        <v>9473.4500000000007</v>
      </c>
      <c r="I137" s="68">
        <f>SUM(I132:I136)</f>
        <v>8881.65</v>
      </c>
      <c r="J137" s="68">
        <f>SUM(J132:J136)</f>
        <v>10682.550000000001</v>
      </c>
      <c r="K137" s="3">
        <v>10318.450000000001</v>
      </c>
      <c r="L137" s="3">
        <v>8862.64</v>
      </c>
      <c r="M137" s="58">
        <v>9808.76</v>
      </c>
      <c r="N137" s="3">
        <v>13713.1</v>
      </c>
      <c r="O137" s="24">
        <f>SUM(O132:O136)</f>
        <v>11043.25</v>
      </c>
      <c r="P137" s="24">
        <f>SUM(P132:P136)</f>
        <v>6886.14</v>
      </c>
      <c r="Q137" s="24">
        <v>9109.0300000000007</v>
      </c>
      <c r="R137" s="24">
        <f t="shared" ref="R137:X137" si="7">SUM(R132:R136)</f>
        <v>9591.34</v>
      </c>
      <c r="S137" s="3">
        <f t="shared" si="7"/>
        <v>7539.34</v>
      </c>
      <c r="T137" s="3">
        <f t="shared" si="7"/>
        <v>5988.8</v>
      </c>
      <c r="U137" s="3">
        <f t="shared" si="7"/>
        <v>9109.33</v>
      </c>
      <c r="V137" s="3">
        <f t="shared" si="7"/>
        <v>7987.42</v>
      </c>
      <c r="W137" s="3">
        <f t="shared" si="7"/>
        <v>6105.67</v>
      </c>
      <c r="X137" s="3">
        <f t="shared" si="7"/>
        <v>5139.72</v>
      </c>
    </row>
    <row r="138" spans="1:24" x14ac:dyDescent="0.25">
      <c r="B138" s="23"/>
      <c r="C138" s="23"/>
      <c r="D138" s="24"/>
      <c r="E138" s="24"/>
      <c r="F138" s="24"/>
      <c r="H138" s="24"/>
      <c r="I138" s="24"/>
      <c r="J138" s="24"/>
      <c r="L138" s="3"/>
      <c r="M138" s="58"/>
      <c r="O138" s="24"/>
      <c r="P138" s="24"/>
      <c r="Q138" s="24"/>
      <c r="R138" s="24"/>
    </row>
    <row r="139" spans="1:24" x14ac:dyDescent="0.25">
      <c r="A139" s="47" t="s">
        <v>114</v>
      </c>
      <c r="B139" s="74"/>
      <c r="C139" s="74"/>
      <c r="D139" s="29"/>
      <c r="E139" s="47">
        <v>2022</v>
      </c>
      <c r="F139" s="47">
        <v>2021</v>
      </c>
      <c r="G139" s="47">
        <v>2020</v>
      </c>
      <c r="H139" s="47">
        <v>2019</v>
      </c>
      <c r="I139" s="47">
        <v>2018</v>
      </c>
      <c r="J139" s="47">
        <v>2017</v>
      </c>
      <c r="K139" s="47">
        <v>2016</v>
      </c>
      <c r="L139" s="47">
        <v>2015</v>
      </c>
      <c r="M139" s="47">
        <v>2014</v>
      </c>
      <c r="N139" s="47">
        <v>2013</v>
      </c>
      <c r="O139" s="47">
        <v>2012</v>
      </c>
      <c r="P139" s="47">
        <v>2011</v>
      </c>
      <c r="Q139" s="47">
        <v>2010</v>
      </c>
      <c r="R139" s="47">
        <v>2009</v>
      </c>
      <c r="S139" s="47">
        <v>2008</v>
      </c>
      <c r="T139" s="47">
        <v>2006</v>
      </c>
      <c r="U139" s="47">
        <v>2005</v>
      </c>
      <c r="V139" s="47">
        <v>2004</v>
      </c>
      <c r="W139" s="75">
        <v>2003</v>
      </c>
      <c r="X139" s="75">
        <v>2002</v>
      </c>
    </row>
    <row r="140" spans="1:24" s="69" customFormat="1" x14ac:dyDescent="0.25">
      <c r="A140" s="3"/>
      <c r="B140" s="70" t="s">
        <v>57</v>
      </c>
      <c r="C140" s="70"/>
      <c r="D140" s="71" t="s">
        <v>58</v>
      </c>
      <c r="E140" s="71" t="s">
        <v>59</v>
      </c>
      <c r="F140" s="71" t="s">
        <v>59</v>
      </c>
      <c r="G140" s="52" t="s">
        <v>115</v>
      </c>
      <c r="H140" s="71" t="s">
        <v>59</v>
      </c>
      <c r="I140" s="77" t="s">
        <v>59</v>
      </c>
      <c r="J140" s="72" t="s">
        <v>59</v>
      </c>
      <c r="K140" s="51" t="s">
        <v>59</v>
      </c>
      <c r="L140" s="71" t="s">
        <v>59</v>
      </c>
      <c r="M140" s="71" t="s">
        <v>59</v>
      </c>
      <c r="N140" s="71" t="s">
        <v>59</v>
      </c>
      <c r="O140" s="71" t="s">
        <v>59</v>
      </c>
      <c r="P140" s="71" t="s">
        <v>59</v>
      </c>
      <c r="Q140" s="31" t="s">
        <v>97</v>
      </c>
      <c r="R140" s="72" t="s">
        <v>116</v>
      </c>
      <c r="S140" s="54" t="s">
        <v>59</v>
      </c>
      <c r="T140" s="54" t="s">
        <v>59</v>
      </c>
      <c r="U140" s="54" t="s">
        <v>59</v>
      </c>
      <c r="V140" s="54" t="s">
        <v>59</v>
      </c>
      <c r="W140" s="54" t="s">
        <v>59</v>
      </c>
      <c r="X140" s="54" t="s">
        <v>59</v>
      </c>
    </row>
    <row r="141" spans="1:24" x14ac:dyDescent="0.25">
      <c r="A141" s="3" t="s">
        <v>117</v>
      </c>
      <c r="B141" s="83">
        <f>1843.66+821.34</f>
        <v>2665</v>
      </c>
      <c r="C141" s="83"/>
      <c r="D141" s="80">
        <v>821.34</v>
      </c>
      <c r="E141" s="80">
        <f t="shared" ref="E141:E157" si="8">B141-D141</f>
        <v>1843.6599999999999</v>
      </c>
      <c r="F141" s="80">
        <v>4266.6000000000004</v>
      </c>
      <c r="G141" s="80">
        <v>1346.25</v>
      </c>
      <c r="H141" s="80">
        <v>3446.5</v>
      </c>
      <c r="I141" s="80">
        <v>3102.91</v>
      </c>
      <c r="J141" s="80">
        <v>2847.95</v>
      </c>
      <c r="K141" s="80">
        <v>2252.1</v>
      </c>
      <c r="L141" s="80">
        <v>1838.5</v>
      </c>
      <c r="M141" s="58">
        <v>1232</v>
      </c>
      <c r="N141" s="3">
        <v>1294.25</v>
      </c>
      <c r="O141" s="3">
        <v>1523.5</v>
      </c>
      <c r="P141" s="24">
        <v>1568.45</v>
      </c>
      <c r="Q141" s="24">
        <v>1720</v>
      </c>
      <c r="R141" s="24">
        <v>0</v>
      </c>
      <c r="S141" s="42"/>
      <c r="T141" s="3">
        <v>0</v>
      </c>
      <c r="U141" s="3">
        <v>0</v>
      </c>
      <c r="W141" s="3">
        <v>0</v>
      </c>
      <c r="X141" s="3">
        <v>630</v>
      </c>
    </row>
    <row r="142" spans="1:24" x14ac:dyDescent="0.25">
      <c r="A142" s="3" t="s">
        <v>118</v>
      </c>
      <c r="B142" s="83"/>
      <c r="C142" s="83"/>
      <c r="D142" s="80"/>
      <c r="E142" s="80">
        <f t="shared" si="8"/>
        <v>0</v>
      </c>
      <c r="F142" s="80"/>
      <c r="G142" s="80"/>
      <c r="H142" s="80">
        <v>0</v>
      </c>
      <c r="I142" s="80">
        <v>54.59</v>
      </c>
      <c r="J142" s="80">
        <v>30</v>
      </c>
      <c r="K142" s="80">
        <v>-2635.05</v>
      </c>
      <c r="L142" s="80"/>
      <c r="M142" s="58"/>
      <c r="P142" s="24"/>
      <c r="Q142" s="24"/>
      <c r="R142" s="24"/>
      <c r="S142" s="42"/>
    </row>
    <row r="143" spans="1:24" x14ac:dyDescent="0.25">
      <c r="A143" s="59" t="s">
        <v>119</v>
      </c>
      <c r="B143" s="83">
        <v>34550</v>
      </c>
      <c r="C143" s="83"/>
      <c r="D143" s="80"/>
      <c r="E143" s="80">
        <f t="shared" si="8"/>
        <v>34550</v>
      </c>
      <c r="F143" s="80">
        <v>34550</v>
      </c>
      <c r="G143" s="80">
        <v>31285</v>
      </c>
      <c r="H143" s="80">
        <v>30900</v>
      </c>
      <c r="I143" s="80">
        <v>28600</v>
      </c>
      <c r="J143" s="80">
        <v>25600</v>
      </c>
      <c r="K143" s="80">
        <v>36025.449999999997</v>
      </c>
      <c r="L143" s="80">
        <v>32950</v>
      </c>
      <c r="M143" s="58">
        <v>35200</v>
      </c>
      <c r="N143" s="3">
        <v>30350</v>
      </c>
      <c r="O143" s="3">
        <v>11050</v>
      </c>
      <c r="P143" s="24">
        <v>17900</v>
      </c>
      <c r="Q143" s="24">
        <v>18100</v>
      </c>
      <c r="R143" s="24">
        <v>14475</v>
      </c>
      <c r="S143" s="42">
        <v>23925</v>
      </c>
      <c r="T143" s="3">
        <v>-374.75</v>
      </c>
      <c r="U143" s="3">
        <v>1628.67</v>
      </c>
      <c r="V143" s="3">
        <v>11150</v>
      </c>
      <c r="W143" s="3">
        <v>11437.5</v>
      </c>
      <c r="X143" s="3">
        <v>1280</v>
      </c>
    </row>
    <row r="144" spans="1:24" x14ac:dyDescent="0.25">
      <c r="A144" s="3" t="s">
        <v>120</v>
      </c>
      <c r="B144" s="83">
        <v>60</v>
      </c>
      <c r="C144" s="83"/>
      <c r="D144" s="80"/>
      <c r="E144" s="80">
        <f t="shared" si="8"/>
        <v>60</v>
      </c>
      <c r="F144" s="80"/>
      <c r="G144" s="80"/>
      <c r="H144" s="80">
        <v>65</v>
      </c>
      <c r="I144" s="80">
        <v>125</v>
      </c>
      <c r="J144" s="80">
        <v>50</v>
      </c>
      <c r="K144" s="80">
        <v>50</v>
      </c>
      <c r="L144" s="80">
        <v>15</v>
      </c>
      <c r="M144" s="58">
        <v>506.18</v>
      </c>
      <c r="N144" s="3">
        <v>70</v>
      </c>
      <c r="O144" s="3">
        <v>50</v>
      </c>
      <c r="P144" s="24">
        <v>145</v>
      </c>
      <c r="Q144" s="24">
        <v>110</v>
      </c>
      <c r="R144" s="24">
        <v>40</v>
      </c>
      <c r="S144" s="42">
        <v>30</v>
      </c>
      <c r="T144" s="3">
        <v>80</v>
      </c>
      <c r="U144" s="3">
        <v>40</v>
      </c>
      <c r="V144" s="3">
        <v>80</v>
      </c>
      <c r="W144" s="3">
        <v>90</v>
      </c>
      <c r="X144" s="3">
        <v>104</v>
      </c>
    </row>
    <row r="145" spans="1:24" x14ac:dyDescent="0.25">
      <c r="A145" s="3" t="s">
        <v>121</v>
      </c>
      <c r="B145" s="83">
        <v>200</v>
      </c>
      <c r="C145" s="83"/>
      <c r="D145" s="80"/>
      <c r="E145" s="80">
        <f t="shared" si="8"/>
        <v>200</v>
      </c>
      <c r="F145" s="80">
        <v>200</v>
      </c>
      <c r="G145" s="80"/>
      <c r="H145" s="80">
        <v>214</v>
      </c>
      <c r="I145" s="80">
        <v>900.71000000000026</v>
      </c>
      <c r="J145" s="80">
        <v>677.92000000000007</v>
      </c>
      <c r="K145" s="80">
        <v>453.51</v>
      </c>
      <c r="L145" s="80">
        <v>59</v>
      </c>
      <c r="M145" s="58">
        <v>34</v>
      </c>
      <c r="N145" s="3">
        <v>1102.72</v>
      </c>
      <c r="O145" s="3">
        <v>224</v>
      </c>
      <c r="P145" s="24">
        <v>647</v>
      </c>
      <c r="Q145" s="24">
        <v>0</v>
      </c>
      <c r="R145" s="24">
        <v>824.78</v>
      </c>
      <c r="S145" s="42">
        <v>770.8</v>
      </c>
      <c r="T145" s="3">
        <v>693.89</v>
      </c>
      <c r="U145" s="3">
        <v>388.59</v>
      </c>
      <c r="V145" s="3">
        <v>774.18</v>
      </c>
      <c r="W145" s="3">
        <v>743.56</v>
      </c>
      <c r="X145" s="3">
        <v>496.7</v>
      </c>
    </row>
    <row r="146" spans="1:24" x14ac:dyDescent="0.25">
      <c r="A146" s="3" t="s">
        <v>122</v>
      </c>
      <c r="B146" s="83">
        <v>186</v>
      </c>
      <c r="C146" s="89"/>
      <c r="D146" s="80"/>
      <c r="E146" s="80">
        <f t="shared" si="8"/>
        <v>186</v>
      </c>
      <c r="F146" s="80">
        <v>166.74</v>
      </c>
      <c r="G146" s="80">
        <v>116.73</v>
      </c>
      <c r="H146" s="80">
        <v>353.34</v>
      </c>
      <c r="I146" s="80">
        <v>350.97</v>
      </c>
      <c r="J146" s="80">
        <v>269.99</v>
      </c>
      <c r="K146" s="80">
        <v>146.02999999999997</v>
      </c>
      <c r="L146" s="80">
        <v>98.13</v>
      </c>
      <c r="M146" s="58">
        <v>173.45</v>
      </c>
      <c r="P146" s="24"/>
      <c r="Q146" s="24">
        <v>0</v>
      </c>
      <c r="R146" s="24">
        <v>0.88</v>
      </c>
      <c r="S146" s="42">
        <v>50.67</v>
      </c>
      <c r="T146" s="3">
        <v>431.09</v>
      </c>
      <c r="U146" s="3">
        <v>154.22</v>
      </c>
      <c r="V146" s="3">
        <v>192.91</v>
      </c>
      <c r="W146" s="3">
        <v>261.54000000000002</v>
      </c>
      <c r="X146" s="3">
        <v>425.45</v>
      </c>
    </row>
    <row r="147" spans="1:24" x14ac:dyDescent="0.25">
      <c r="A147" s="3" t="s">
        <v>123</v>
      </c>
      <c r="B147" s="83"/>
      <c r="C147" s="89"/>
      <c r="D147" s="80"/>
      <c r="E147" s="80">
        <f t="shared" si="8"/>
        <v>0</v>
      </c>
      <c r="F147" s="80"/>
      <c r="G147" s="80"/>
      <c r="H147" s="80">
        <v>108.53</v>
      </c>
      <c r="I147" s="80"/>
      <c r="J147" s="80"/>
      <c r="K147" s="80"/>
      <c r="L147" s="80"/>
      <c r="M147" s="58"/>
      <c r="P147" s="24"/>
      <c r="Q147" s="24"/>
      <c r="R147" s="24"/>
      <c r="S147" s="42"/>
    </row>
    <row r="148" spans="1:24" x14ac:dyDescent="0.25">
      <c r="A148" s="3" t="s">
        <v>124</v>
      </c>
      <c r="B148" s="83">
        <v>26749.68</v>
      </c>
      <c r="C148" s="83"/>
      <c r="D148" s="80"/>
      <c r="E148" s="80">
        <f t="shared" si="8"/>
        <v>26749.68</v>
      </c>
      <c r="F148" s="80">
        <v>15959.96</v>
      </c>
      <c r="G148" s="80">
        <v>78938.3</v>
      </c>
      <c r="H148" s="80">
        <v>2950.97</v>
      </c>
      <c r="I148" s="80">
        <v>4819.9400000000005</v>
      </c>
      <c r="J148" s="80">
        <v>4700.62</v>
      </c>
      <c r="K148" s="80">
        <v>5572.75</v>
      </c>
      <c r="L148" s="80">
        <v>3687</v>
      </c>
      <c r="M148" s="58">
        <v>1783</v>
      </c>
      <c r="N148" s="3">
        <v>17.98</v>
      </c>
      <c r="O148" s="3">
        <v>868.49</v>
      </c>
      <c r="P148" s="24">
        <v>1131.42</v>
      </c>
      <c r="Q148" s="24">
        <v>1957.02</v>
      </c>
      <c r="R148" s="24">
        <v>115</v>
      </c>
      <c r="S148" s="42">
        <v>707.42</v>
      </c>
      <c r="T148" s="3">
        <v>2082.9899999999998</v>
      </c>
      <c r="U148" s="3">
        <v>2781</v>
      </c>
      <c r="V148" s="3">
        <v>3719.3</v>
      </c>
      <c r="W148" s="3">
        <v>291.37</v>
      </c>
      <c r="X148" s="3">
        <v>3210.72</v>
      </c>
    </row>
    <row r="149" spans="1:24" x14ac:dyDescent="0.25">
      <c r="A149" s="3" t="s">
        <v>125</v>
      </c>
      <c r="B149" s="83">
        <v>3291.07</v>
      </c>
      <c r="C149" s="83"/>
      <c r="D149" s="80"/>
      <c r="E149" s="80">
        <f t="shared" si="8"/>
        <v>3291.07</v>
      </c>
      <c r="F149" s="80">
        <v>3341</v>
      </c>
      <c r="G149" s="80"/>
      <c r="H149" s="80">
        <v>4395.34</v>
      </c>
      <c r="I149" s="80">
        <v>2464.91</v>
      </c>
      <c r="J149" s="80">
        <v>1491.66</v>
      </c>
      <c r="K149" s="80">
        <v>1931</v>
      </c>
      <c r="L149" s="80">
        <v>1666</v>
      </c>
      <c r="M149" s="58">
        <v>2399</v>
      </c>
      <c r="N149" s="3">
        <v>1961.41</v>
      </c>
      <c r="O149" s="3">
        <v>2018</v>
      </c>
      <c r="P149" s="24">
        <v>3166</v>
      </c>
      <c r="Q149" s="24">
        <v>2503</v>
      </c>
      <c r="R149" s="24">
        <v>2320</v>
      </c>
      <c r="S149" s="42">
        <v>1782</v>
      </c>
      <c r="T149" s="3">
        <v>2223</v>
      </c>
      <c r="U149" s="3">
        <v>1544.5</v>
      </c>
      <c r="V149" s="3">
        <v>1258.5</v>
      </c>
    </row>
    <row r="150" spans="1:24" x14ac:dyDescent="0.25">
      <c r="A150" s="3" t="s">
        <v>126</v>
      </c>
      <c r="B150" s="83"/>
      <c r="C150" s="83" t="s">
        <v>137</v>
      </c>
      <c r="D150" s="80"/>
      <c r="E150" s="80">
        <f t="shared" si="8"/>
        <v>0</v>
      </c>
      <c r="F150" s="80"/>
      <c r="G150" s="80"/>
      <c r="H150" s="80">
        <v>0</v>
      </c>
      <c r="I150" s="80">
        <v>83.64</v>
      </c>
      <c r="J150" s="80">
        <v>273.45999999999998</v>
      </c>
      <c r="K150" s="80">
        <v>0</v>
      </c>
      <c r="L150" s="80">
        <v>209.88</v>
      </c>
      <c r="M150" s="58">
        <v>328.19</v>
      </c>
      <c r="O150" s="3">
        <v>282</v>
      </c>
      <c r="P150" s="24">
        <v>241.02</v>
      </c>
      <c r="Q150" s="24">
        <v>0</v>
      </c>
      <c r="R150" s="24">
        <v>328.19</v>
      </c>
      <c r="T150" s="3">
        <v>266.19</v>
      </c>
      <c r="U150" s="3">
        <v>350</v>
      </c>
    </row>
    <row r="151" spans="1:24" x14ac:dyDescent="0.25">
      <c r="A151" s="3" t="s">
        <v>127</v>
      </c>
      <c r="B151" s="83"/>
      <c r="C151" s="83"/>
      <c r="D151" s="80"/>
      <c r="E151" s="80">
        <f t="shared" si="8"/>
        <v>0</v>
      </c>
      <c r="F151" s="80"/>
      <c r="G151" s="80"/>
      <c r="H151" s="80">
        <v>0</v>
      </c>
      <c r="I151" s="80">
        <v>2850</v>
      </c>
      <c r="J151" s="80">
        <v>3100</v>
      </c>
      <c r="K151" s="80">
        <v>2400</v>
      </c>
      <c r="L151" s="80">
        <v>1660</v>
      </c>
      <c r="P151" s="24">
        <v>138.01</v>
      </c>
      <c r="Q151" s="24">
        <v>214.8</v>
      </c>
      <c r="R151" s="24">
        <v>38.6</v>
      </c>
      <c r="S151" s="42">
        <v>272.3</v>
      </c>
      <c r="T151" s="3">
        <v>0</v>
      </c>
      <c r="U151" s="3">
        <v>183.59</v>
      </c>
      <c r="W151" s="3">
        <v>85.45</v>
      </c>
      <c r="X151" s="3">
        <v>167.88</v>
      </c>
    </row>
    <row r="152" spans="1:24" x14ac:dyDescent="0.25">
      <c r="A152" s="3" t="s">
        <v>128</v>
      </c>
      <c r="B152" s="83">
        <v>26056.37</v>
      </c>
      <c r="C152" s="83"/>
      <c r="D152" s="80"/>
      <c r="E152" s="80">
        <f t="shared" si="8"/>
        <v>26056.37</v>
      </c>
      <c r="F152" s="80">
        <v>20359.91</v>
      </c>
      <c r="G152" s="80">
        <v>18129.87</v>
      </c>
      <c r="H152" s="80">
        <v>26403.54</v>
      </c>
      <c r="I152" s="80">
        <v>25273.72</v>
      </c>
      <c r="J152" s="80">
        <v>28957.23</v>
      </c>
      <c r="K152" s="80">
        <v>25078.560000000001</v>
      </c>
      <c r="L152" s="80">
        <v>25128.93</v>
      </c>
      <c r="M152" s="58">
        <v>29325.759999999998</v>
      </c>
      <c r="N152" s="3">
        <v>30881.56</v>
      </c>
      <c r="O152" s="3">
        <v>35187.49</v>
      </c>
      <c r="P152" s="24">
        <v>36917.019999999997</v>
      </c>
      <c r="Q152" s="24">
        <v>24208.400000000001</v>
      </c>
      <c r="R152" s="24">
        <v>29958.63</v>
      </c>
      <c r="S152" s="42">
        <v>30354.19</v>
      </c>
      <c r="T152" s="3">
        <v>27093.43</v>
      </c>
      <c r="U152" s="3">
        <v>22834.09</v>
      </c>
      <c r="V152" s="3">
        <v>11658.92</v>
      </c>
      <c r="W152" s="3">
        <v>14594.44</v>
      </c>
      <c r="X152" s="3">
        <v>16046.49</v>
      </c>
    </row>
    <row r="153" spans="1:24" x14ac:dyDescent="0.25">
      <c r="A153" s="3" t="s">
        <v>129</v>
      </c>
      <c r="B153" s="83">
        <v>1489.61</v>
      </c>
      <c r="C153" s="83"/>
      <c r="D153" s="80"/>
      <c r="E153" s="80">
        <f t="shared" si="8"/>
        <v>1489.61</v>
      </c>
      <c r="F153" s="80">
        <v>1389.76</v>
      </c>
      <c r="G153" s="80"/>
      <c r="H153" s="80">
        <v>1603.74</v>
      </c>
      <c r="I153" s="80">
        <v>1559.37</v>
      </c>
      <c r="J153" s="80">
        <v>1722.61</v>
      </c>
      <c r="K153" s="80">
        <v>2186.94</v>
      </c>
      <c r="L153" s="80">
        <v>1590</v>
      </c>
      <c r="M153" s="58">
        <v>1755</v>
      </c>
      <c r="N153" s="3">
        <v>1395</v>
      </c>
      <c r="O153" s="3">
        <v>1091</v>
      </c>
      <c r="P153" s="24">
        <v>896.84</v>
      </c>
      <c r="Q153" s="24">
        <v>893</v>
      </c>
      <c r="R153" s="24">
        <v>943</v>
      </c>
      <c r="S153" s="42">
        <v>1308</v>
      </c>
      <c r="T153" s="3">
        <v>1234</v>
      </c>
      <c r="U153" s="3">
        <v>1272</v>
      </c>
      <c r="V153" s="3">
        <v>1266.5</v>
      </c>
      <c r="W153" s="3">
        <v>997</v>
      </c>
      <c r="X153" s="3">
        <v>1499</v>
      </c>
    </row>
    <row r="154" spans="1:24" x14ac:dyDescent="0.25">
      <c r="A154" s="3" t="s">
        <v>130</v>
      </c>
      <c r="B154" s="83"/>
      <c r="C154" s="83"/>
      <c r="D154" s="80"/>
      <c r="E154" s="80">
        <f t="shared" si="8"/>
        <v>0</v>
      </c>
      <c r="F154" s="80"/>
      <c r="G154" s="80"/>
      <c r="H154" s="80">
        <v>0</v>
      </c>
      <c r="I154" s="80">
        <v>524.1</v>
      </c>
      <c r="J154" s="80">
        <v>1322.48</v>
      </c>
      <c r="K154" s="80">
        <v>221.18000000000006</v>
      </c>
      <c r="L154" s="80">
        <v>750</v>
      </c>
      <c r="M154" s="58">
        <v>2127</v>
      </c>
      <c r="N154" s="3">
        <v>2067.59</v>
      </c>
      <c r="O154" s="3">
        <v>1241.71</v>
      </c>
      <c r="P154" s="24">
        <v>505</v>
      </c>
      <c r="Q154" s="24">
        <v>490</v>
      </c>
      <c r="R154" s="24"/>
      <c r="S154" s="42"/>
    </row>
    <row r="155" spans="1:24" x14ac:dyDescent="0.25">
      <c r="A155" s="3" t="s">
        <v>131</v>
      </c>
      <c r="B155" s="83"/>
      <c r="C155" s="83"/>
      <c r="D155" s="80"/>
      <c r="E155" s="80">
        <f t="shared" si="8"/>
        <v>0</v>
      </c>
      <c r="F155" s="80"/>
      <c r="G155" s="80">
        <v>880.35</v>
      </c>
      <c r="H155" s="80">
        <v>24</v>
      </c>
      <c r="I155" s="80">
        <v>775.32999999999993</v>
      </c>
      <c r="J155" s="80"/>
      <c r="K155" s="80"/>
      <c r="L155" s="80"/>
      <c r="M155" s="58"/>
      <c r="P155" s="24"/>
      <c r="Q155" s="24"/>
      <c r="R155" s="24"/>
      <c r="S155" s="42"/>
    </row>
    <row r="156" spans="1:24" x14ac:dyDescent="0.25">
      <c r="A156" s="3" t="s">
        <v>132</v>
      </c>
      <c r="B156" s="83">
        <f>97.87+14389+10000</f>
        <v>24486.870000000003</v>
      </c>
      <c r="C156" s="83"/>
      <c r="D156" s="80">
        <v>2250</v>
      </c>
      <c r="E156" s="80">
        <f t="shared" si="8"/>
        <v>22236.870000000003</v>
      </c>
      <c r="F156" s="80">
        <v>63698.15</v>
      </c>
      <c r="G156" s="80"/>
      <c r="H156" s="80">
        <v>14695.7</v>
      </c>
      <c r="I156" s="80"/>
      <c r="J156" s="80"/>
      <c r="K156" s="80"/>
      <c r="L156" s="80"/>
      <c r="M156" s="58"/>
      <c r="P156" s="24"/>
      <c r="Q156" s="24"/>
      <c r="R156" s="24"/>
      <c r="S156" s="42"/>
    </row>
    <row r="157" spans="1:24" ht="16.5" thickBot="1" x14ac:dyDescent="0.3">
      <c r="A157" s="65" t="s">
        <v>133</v>
      </c>
      <c r="B157" s="86">
        <v>37396.15</v>
      </c>
      <c r="C157" s="86"/>
      <c r="D157" s="81"/>
      <c r="E157" s="81">
        <f t="shared" si="8"/>
        <v>37396.15</v>
      </c>
      <c r="F157" s="81">
        <v>48883.66</v>
      </c>
      <c r="G157" s="81">
        <v>47406.29</v>
      </c>
      <c r="H157" s="80">
        <v>28303.16</v>
      </c>
      <c r="I157" s="81">
        <v>31508.22</v>
      </c>
      <c r="J157" s="81">
        <v>40989.040000000001</v>
      </c>
      <c r="K157" s="81"/>
      <c r="L157" s="81"/>
      <c r="M157" s="65"/>
      <c r="N157" s="65"/>
      <c r="O157" s="65"/>
      <c r="P157" s="64"/>
      <c r="Q157" s="64"/>
      <c r="R157" s="64"/>
      <c r="S157" s="67"/>
      <c r="T157" s="65"/>
      <c r="U157" s="65"/>
      <c r="V157" s="65"/>
      <c r="W157" s="65"/>
      <c r="X157" s="65"/>
    </row>
    <row r="158" spans="1:24" ht="16.5" thickTop="1" x14ac:dyDescent="0.25">
      <c r="A158" s="3" t="s">
        <v>134</v>
      </c>
      <c r="B158" s="23">
        <f>SUM(B141:B157)</f>
        <v>157130.75</v>
      </c>
      <c r="C158" s="23"/>
      <c r="D158" s="24">
        <f t="shared" ref="D158:L158" si="9">SUM(D141:D157)</f>
        <v>3071.34</v>
      </c>
      <c r="E158" s="24">
        <f t="shared" si="9"/>
        <v>154059.41</v>
      </c>
      <c r="F158" s="24">
        <f t="shared" si="9"/>
        <v>192815.78</v>
      </c>
      <c r="G158" s="24">
        <f t="shared" si="9"/>
        <v>178102.79</v>
      </c>
      <c r="H158" s="68">
        <f t="shared" si="9"/>
        <v>113463.82</v>
      </c>
      <c r="I158" s="68">
        <f t="shared" si="9"/>
        <v>102993.41</v>
      </c>
      <c r="J158" s="24">
        <f t="shared" si="9"/>
        <v>112032.95999999999</v>
      </c>
      <c r="K158" s="24">
        <f t="shared" si="9"/>
        <v>73682.47</v>
      </c>
      <c r="L158" s="24">
        <f t="shared" si="9"/>
        <v>69652.44</v>
      </c>
      <c r="M158" s="58">
        <v>75090.009999999995</v>
      </c>
      <c r="N158" s="3">
        <v>76671.759999999995</v>
      </c>
      <c r="O158" s="24">
        <f>SUM(O143:O157)</f>
        <v>52012.689999999995</v>
      </c>
      <c r="P158" s="24">
        <f>SUM(P143:P157)</f>
        <v>61687.30999999999</v>
      </c>
      <c r="Q158" s="24">
        <v>58522.49</v>
      </c>
      <c r="R158" s="24">
        <v>63125.810000000005</v>
      </c>
      <c r="S158" s="3">
        <f t="shared" ref="S158:X158" si="10">SUM(S143:S157)</f>
        <v>59200.37999999999</v>
      </c>
      <c r="T158" s="3">
        <f t="shared" si="10"/>
        <v>33729.839999999997</v>
      </c>
      <c r="U158" s="3">
        <f t="shared" si="10"/>
        <v>31176.66</v>
      </c>
      <c r="V158" s="3">
        <f t="shared" si="10"/>
        <v>30100.309999999998</v>
      </c>
      <c r="W158" s="3">
        <f t="shared" si="10"/>
        <v>28500.86</v>
      </c>
      <c r="X158" s="3">
        <f t="shared" si="10"/>
        <v>23230.239999999998</v>
      </c>
    </row>
    <row r="159" spans="1:24" x14ac:dyDescent="0.25">
      <c r="A159" s="5" t="s">
        <v>135</v>
      </c>
      <c r="B159" s="30">
        <f>B115+B128+B137+B158</f>
        <v>430311.06</v>
      </c>
      <c r="C159" s="30"/>
      <c r="D159" s="34">
        <f>D115+D128+D137+D158</f>
        <v>44195.329999999987</v>
      </c>
      <c r="E159" s="90">
        <f>E115+E128+E137+E158</f>
        <v>386115.73</v>
      </c>
      <c r="F159" s="90">
        <f>SUM(F115+F128+F137+F158)</f>
        <v>454360.16000000003</v>
      </c>
      <c r="G159" s="90">
        <f>SUM(G115+G128+G137+G158)</f>
        <v>320143.48</v>
      </c>
      <c r="H159" s="90">
        <f>SUM(H115+H128+H137+H158)</f>
        <v>354834.2</v>
      </c>
      <c r="I159" s="90">
        <f>SUM(I115+I128+I137+I158)</f>
        <v>328746.59000000003</v>
      </c>
      <c r="J159" s="34">
        <f>SUM(J115+J128+J137+J158)</f>
        <v>350606.26</v>
      </c>
      <c r="K159" s="5">
        <v>322505.57000000007</v>
      </c>
      <c r="L159" s="5">
        <v>277779.37</v>
      </c>
      <c r="M159" s="34">
        <f t="shared" ref="M159:W159" si="11">SUM(M115+M128+M137+M158)</f>
        <v>328509.93000000005</v>
      </c>
      <c r="N159" s="34">
        <f t="shared" si="11"/>
        <v>320314.11</v>
      </c>
      <c r="O159" s="34">
        <f t="shared" si="11"/>
        <v>267599.26</v>
      </c>
      <c r="P159" s="34">
        <f t="shared" si="11"/>
        <v>268149.58999999997</v>
      </c>
      <c r="Q159" s="5">
        <f t="shared" si="11"/>
        <v>287108.67000000004</v>
      </c>
      <c r="R159" s="5">
        <f t="shared" si="11"/>
        <v>270881.57</v>
      </c>
      <c r="S159" s="5">
        <f t="shared" si="11"/>
        <v>258146.93</v>
      </c>
      <c r="T159" s="5">
        <f t="shared" si="11"/>
        <v>238926.98999999996</v>
      </c>
      <c r="U159" s="5">
        <f t="shared" si="11"/>
        <v>225724.44999999998</v>
      </c>
      <c r="V159" s="5">
        <f t="shared" si="11"/>
        <v>200273.16</v>
      </c>
      <c r="W159" s="5">
        <f t="shared" si="11"/>
        <v>188428.08000000002</v>
      </c>
      <c r="X159" s="5">
        <f>X158+X137+X128+X115</f>
        <v>180638.44</v>
      </c>
    </row>
    <row r="160" spans="1:24" x14ac:dyDescent="0.25">
      <c r="B160" s="23"/>
      <c r="C160" s="23"/>
      <c r="D160" s="24"/>
      <c r="E160" s="24"/>
      <c r="F160" s="24"/>
      <c r="I160" s="24"/>
      <c r="J160" s="24"/>
      <c r="K160" s="24"/>
      <c r="L160" s="24"/>
      <c r="M160" s="24"/>
      <c r="P160" s="24"/>
    </row>
    <row r="162" spans="2:12" x14ac:dyDescent="0.25">
      <c r="B162" s="23"/>
      <c r="C162" s="23"/>
      <c r="D162" s="24"/>
      <c r="E162" s="24"/>
      <c r="F162" s="24"/>
      <c r="G162" s="24"/>
      <c r="H162" s="24"/>
      <c r="I162" s="24"/>
      <c r="J162" s="24"/>
      <c r="K162" s="24"/>
      <c r="L162" s="3"/>
    </row>
    <row r="163" spans="2:12" x14ac:dyDescent="0.25">
      <c r="B163" s="23"/>
      <c r="C163" s="23"/>
      <c r="D163" s="24"/>
      <c r="E163" s="24"/>
      <c r="F163" s="24"/>
      <c r="G163" s="24"/>
      <c r="H163" s="24"/>
      <c r="I163" s="24"/>
      <c r="J163" s="24"/>
      <c r="K163" s="24"/>
      <c r="L163" s="3"/>
    </row>
    <row r="164" spans="2:12" x14ac:dyDescent="0.25">
      <c r="B164" s="23"/>
      <c r="C164" s="23"/>
      <c r="D164" s="24"/>
      <c r="E164" s="24"/>
      <c r="F164" s="24"/>
      <c r="G164" s="24"/>
      <c r="H164" s="24"/>
      <c r="I164" s="24"/>
      <c r="J164" s="24"/>
      <c r="K164" s="24"/>
      <c r="L164" s="3"/>
    </row>
    <row r="165" spans="2:12" x14ac:dyDescent="0.25">
      <c r="B165" s="23"/>
      <c r="C165" s="23"/>
      <c r="D165" s="24"/>
      <c r="E165" s="24"/>
      <c r="F165" s="24"/>
      <c r="G165" s="24"/>
      <c r="H165" s="24"/>
      <c r="I165" s="24"/>
      <c r="J165" s="24"/>
      <c r="K165" s="24"/>
      <c r="L165" s="3"/>
    </row>
    <row r="166" spans="2:12" x14ac:dyDescent="0.25">
      <c r="B166" s="23"/>
      <c r="C166" s="23"/>
      <c r="D166" s="24"/>
      <c r="E166" s="24"/>
      <c r="F166" s="24"/>
      <c r="G166" s="24"/>
      <c r="H166" s="24"/>
      <c r="I166" s="24"/>
      <c r="J166" s="24"/>
      <c r="K166" s="24"/>
      <c r="L166" s="3"/>
    </row>
    <row r="167" spans="2:12" x14ac:dyDescent="0.25">
      <c r="B167" s="23"/>
      <c r="C167" s="23"/>
      <c r="D167" s="24"/>
      <c r="E167" s="24"/>
      <c r="F167" s="24"/>
      <c r="G167" s="24"/>
      <c r="H167" s="24"/>
      <c r="I167" s="24"/>
      <c r="J167" s="24"/>
      <c r="K167" s="24"/>
      <c r="L167" s="3"/>
    </row>
    <row r="168" spans="2:12" x14ac:dyDescent="0.25">
      <c r="B168" s="23"/>
      <c r="C168" s="23"/>
      <c r="D168" s="24"/>
      <c r="E168" s="24"/>
      <c r="F168" s="24"/>
      <c r="G168" s="24"/>
      <c r="H168" s="24"/>
      <c r="I168" s="24"/>
      <c r="J168" s="24"/>
      <c r="K168" s="24"/>
      <c r="L168" s="3"/>
    </row>
    <row r="169" spans="2:12" x14ac:dyDescent="0.25">
      <c r="B169" s="23"/>
      <c r="C169" s="23"/>
      <c r="D169" s="24"/>
      <c r="E169" s="24"/>
      <c r="F169" s="24"/>
      <c r="G169" s="24"/>
      <c r="H169" s="24"/>
      <c r="I169" s="24"/>
      <c r="J169" s="24"/>
      <c r="K169" s="24"/>
      <c r="L169" s="3"/>
    </row>
    <row r="170" spans="2:12" x14ac:dyDescent="0.25">
      <c r="B170" s="23"/>
      <c r="C170" s="23"/>
      <c r="D170" s="24"/>
      <c r="E170" s="24"/>
      <c r="F170" s="24"/>
      <c r="G170" s="24"/>
      <c r="H170" s="24"/>
      <c r="I170" s="24"/>
      <c r="J170" s="24"/>
      <c r="K170" s="24"/>
      <c r="L170" s="3"/>
    </row>
  </sheetData>
  <pageMargins left="0.25" right="0.25" top="0.25" bottom="0.75" header="0" footer="0.3"/>
  <pageSetup scale="38" firstPageNumber="0" fitToHeight="0" orientation="landscape" r:id="rId1"/>
  <headerFooter alignWithMargins="0"/>
  <rowBreaks count="1" manualBreakCount="1">
    <brk id="166" max="16383" man="1"/>
  </rowBreaks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Annual Report 2022</vt:lpstr>
      <vt:lpstr>'Annual Report 2022'!__xlnm.Print_Area_12</vt:lpstr>
      <vt:lpstr>'Annual Report 2022'!Print_Area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 Burkholder</dc:creator>
  <cp:lastModifiedBy>Jeremy Kratz</cp:lastModifiedBy>
  <cp:lastPrinted>2023-03-04T20:11:07Z</cp:lastPrinted>
  <dcterms:created xsi:type="dcterms:W3CDTF">2023-02-15T00:36:26Z</dcterms:created>
  <dcterms:modified xsi:type="dcterms:W3CDTF">2023-03-04T20:17:16Z</dcterms:modified>
</cp:coreProperties>
</file>