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. Mennonite Relief Sale files\Final Reports\"/>
    </mc:Choice>
  </mc:AlternateContent>
  <xr:revisionPtr revIDLastSave="0" documentId="8_{DB12595A-793B-47AA-BA66-F16F84EC02CA}" xr6:coauthVersionLast="40" xr6:coauthVersionMax="40" xr10:uidLastSave="{00000000-0000-0000-0000-000000000000}"/>
  <bookViews>
    <workbookView xWindow="0" yWindow="0" windowWidth="19200" windowHeight="6850" xr2:uid="{A4697F28-EA08-4EC5-86DF-61F8D54D1C0B}"/>
  </bookViews>
  <sheets>
    <sheet name="Annual Report (2018)" sheetId="1" r:id="rId1"/>
  </sheets>
  <definedNames>
    <definedName name="__xlnm.Print_Area">"#n"/"a"</definedName>
    <definedName name="__xlnm.Print_Area_12" localSheetId="0">'Annual Report (2018)'!$A$1:$L$84</definedName>
    <definedName name="__xlnm.Print_Titles_11">"$#REF!.$A$1:$B$65536;$#REF!.$A$1:$AMJ$1"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6" i="1" l="1"/>
  <c r="K186" i="1"/>
  <c r="J186" i="1"/>
  <c r="U184" i="1"/>
  <c r="U186" i="1" s="1"/>
  <c r="T184" i="1"/>
  <c r="S184" i="1"/>
  <c r="R184" i="1"/>
  <c r="Q184" i="1"/>
  <c r="P184" i="1"/>
  <c r="M184" i="1"/>
  <c r="L184" i="1"/>
  <c r="I184" i="1"/>
  <c r="H184" i="1"/>
  <c r="G184" i="1"/>
  <c r="F183" i="1"/>
  <c r="I24" i="1" s="1"/>
  <c r="F182" i="1"/>
  <c r="D182" i="1"/>
  <c r="B182" i="1"/>
  <c r="F181" i="1"/>
  <c r="B180" i="1"/>
  <c r="F180" i="1" s="1"/>
  <c r="F179" i="1"/>
  <c r="F178" i="1"/>
  <c r="F177" i="1"/>
  <c r="F176" i="1"/>
  <c r="F175" i="1"/>
  <c r="B175" i="1"/>
  <c r="F174" i="1"/>
  <c r="B173" i="1"/>
  <c r="B184" i="1" s="1"/>
  <c r="F36" i="1" s="1"/>
  <c r="F172" i="1"/>
  <c r="F171" i="1"/>
  <c r="F170" i="1"/>
  <c r="F169" i="1"/>
  <c r="D169" i="1"/>
  <c r="D184" i="1" s="1"/>
  <c r="H36" i="1" s="1"/>
  <c r="B169" i="1"/>
  <c r="U165" i="1"/>
  <c r="T165" i="1"/>
  <c r="S165" i="1"/>
  <c r="R165" i="1"/>
  <c r="Q165" i="1"/>
  <c r="P165" i="1"/>
  <c r="O165" i="1"/>
  <c r="O186" i="1" s="1"/>
  <c r="M165" i="1"/>
  <c r="L165" i="1"/>
  <c r="B165" i="1"/>
  <c r="F34" i="1" s="1"/>
  <c r="F164" i="1"/>
  <c r="F163" i="1"/>
  <c r="D162" i="1"/>
  <c r="B162" i="1"/>
  <c r="F162" i="1" s="1"/>
  <c r="D161" i="1"/>
  <c r="F161" i="1" s="1"/>
  <c r="F160" i="1"/>
  <c r="F165" i="1" s="1"/>
  <c r="U156" i="1"/>
  <c r="T156" i="1"/>
  <c r="S156" i="1"/>
  <c r="R156" i="1"/>
  <c r="Q156" i="1"/>
  <c r="P156" i="1"/>
  <c r="M156" i="1"/>
  <c r="L156" i="1"/>
  <c r="F155" i="1"/>
  <c r="F154" i="1"/>
  <c r="F153" i="1"/>
  <c r="F152" i="1"/>
  <c r="D151" i="1"/>
  <c r="D156" i="1" s="1"/>
  <c r="H32" i="1" s="1"/>
  <c r="F150" i="1"/>
  <c r="F149" i="1"/>
  <c r="B149" i="1"/>
  <c r="B156" i="1" s="1"/>
  <c r="F32" i="1" s="1"/>
  <c r="I32" i="1" s="1"/>
  <c r="F148" i="1"/>
  <c r="U133" i="1"/>
  <c r="S133" i="1"/>
  <c r="S186" i="1" s="1"/>
  <c r="R133" i="1"/>
  <c r="R186" i="1" s="1"/>
  <c r="Q133" i="1"/>
  <c r="Q186" i="1" s="1"/>
  <c r="P133" i="1"/>
  <c r="P186" i="1" s="1"/>
  <c r="M133" i="1"/>
  <c r="M186" i="1" s="1"/>
  <c r="L133" i="1"/>
  <c r="L186" i="1" s="1"/>
  <c r="F132" i="1"/>
  <c r="D132" i="1"/>
  <c r="F131" i="1"/>
  <c r="B131" i="1"/>
  <c r="F130" i="1"/>
  <c r="D129" i="1"/>
  <c r="F129" i="1" s="1"/>
  <c r="D128" i="1"/>
  <c r="F128" i="1" s="1"/>
  <c r="F127" i="1"/>
  <c r="D126" i="1"/>
  <c r="F126" i="1" s="1"/>
  <c r="D125" i="1"/>
  <c r="B125" i="1"/>
  <c r="F125" i="1" s="1"/>
  <c r="D124" i="1"/>
  <c r="F124" i="1" s="1"/>
  <c r="B124" i="1"/>
  <c r="D123" i="1"/>
  <c r="F123" i="1" s="1"/>
  <c r="F122" i="1"/>
  <c r="F121" i="1"/>
  <c r="D120" i="1"/>
  <c r="D133" i="1" s="1"/>
  <c r="F119" i="1"/>
  <c r="D119" i="1"/>
  <c r="D118" i="1"/>
  <c r="F118" i="1" s="1"/>
  <c r="D117" i="1"/>
  <c r="B117" i="1"/>
  <c r="F117" i="1" s="1"/>
  <c r="F116" i="1"/>
  <c r="F115" i="1"/>
  <c r="D115" i="1"/>
  <c r="B115" i="1"/>
  <c r="F114" i="1"/>
  <c r="D113" i="1"/>
  <c r="F113" i="1" s="1"/>
  <c r="F112" i="1"/>
  <c r="T111" i="1"/>
  <c r="T133" i="1" s="1"/>
  <c r="T186" i="1" s="1"/>
  <c r="F111" i="1"/>
  <c r="F110" i="1"/>
  <c r="D109" i="1"/>
  <c r="B109" i="1"/>
  <c r="F109" i="1" s="1"/>
  <c r="D108" i="1"/>
  <c r="F108" i="1" s="1"/>
  <c r="B107" i="1"/>
  <c r="B133" i="1" s="1"/>
  <c r="F106" i="1"/>
  <c r="D105" i="1"/>
  <c r="F105" i="1" s="1"/>
  <c r="D104" i="1"/>
  <c r="B104" i="1"/>
  <c r="F104" i="1" s="1"/>
  <c r="F103" i="1"/>
  <c r="I81" i="1"/>
  <c r="H38" i="1" s="1"/>
  <c r="I76" i="1"/>
  <c r="I66" i="1"/>
  <c r="I56" i="1"/>
  <c r="I55" i="1"/>
  <c r="I23" i="1"/>
  <c r="I20" i="1"/>
  <c r="I17" i="1"/>
  <c r="I14" i="1"/>
  <c r="F184" i="1" l="1"/>
  <c r="F30" i="1"/>
  <c r="B186" i="1"/>
  <c r="I27" i="1"/>
  <c r="I36" i="1"/>
  <c r="F156" i="1"/>
  <c r="F133" i="1"/>
  <c r="F186" i="1" s="1"/>
  <c r="D186" i="1"/>
  <c r="H30" i="1"/>
  <c r="H37" i="1" s="1"/>
  <c r="H39" i="1" s="1"/>
  <c r="I11" i="1" s="1"/>
  <c r="F151" i="1"/>
  <c r="F120" i="1"/>
  <c r="D165" i="1"/>
  <c r="H34" i="1" s="1"/>
  <c r="I34" i="1" s="1"/>
  <c r="F173" i="1"/>
  <c r="F107" i="1"/>
  <c r="F37" i="1" l="1"/>
  <c r="F39" i="1"/>
  <c r="I30" i="1"/>
  <c r="I37" i="1" s="1"/>
  <c r="I10" i="1" l="1"/>
  <c r="I13" i="1" s="1"/>
  <c r="I28" i="1" s="1"/>
  <c r="I39" i="1"/>
</calcChain>
</file>

<file path=xl/sharedStrings.xml><?xml version="1.0" encoding="utf-8"?>
<sst xmlns="http://schemas.openxmlformats.org/spreadsheetml/2006/main" count="208" uniqueCount="139">
  <si>
    <t>vareliefsale.com</t>
  </si>
  <si>
    <t xml:space="preserve">     Savings  Acct.</t>
  </si>
  <si>
    <r>
      <t xml:space="preserve">              Opening Balance 2018  </t>
    </r>
    <r>
      <rPr>
        <b/>
        <i/>
        <sz val="12"/>
        <rFont val="Cambria"/>
        <family val="1"/>
      </rPr>
      <t>Virginia Mennonite Relief Sale</t>
    </r>
    <r>
      <rPr>
        <i/>
        <sz val="12"/>
        <rFont val="Cambria"/>
        <family val="1"/>
      </rPr>
      <t xml:space="preserve"> </t>
    </r>
  </si>
  <si>
    <t xml:space="preserve"> Income</t>
  </si>
  <si>
    <t xml:space="preserve"> Expense</t>
  </si>
  <si>
    <t>Gift &amp; Thrift applebutter sales</t>
  </si>
  <si>
    <t>Account balance</t>
  </si>
  <si>
    <r>
      <rPr>
        <b/>
        <i/>
        <sz val="12"/>
        <rFont val="Cambria"/>
        <family val="1"/>
      </rPr>
      <t xml:space="preserve">Virginia Mennonite Missions </t>
    </r>
    <r>
      <rPr>
        <i/>
        <sz val="12"/>
        <rFont val="Cambria"/>
        <family val="1"/>
      </rPr>
      <t>50 % My Coins Count</t>
    </r>
  </si>
  <si>
    <t>http://vmmissions.org/</t>
  </si>
  <si>
    <t xml:space="preserve">Roberta Webb Child Care Center: </t>
  </si>
  <si>
    <t>http://robertawebbcc.com/</t>
  </si>
  <si>
    <t>Staunton Augusta Church Relief Association (SACRA):</t>
  </si>
  <si>
    <t>https://cfcbr.org/2018-community-grant-proposals/staunton-augusta-church-relief-association/</t>
  </si>
  <si>
    <t xml:space="preserve">  Mennonite Central Committee</t>
  </si>
  <si>
    <t>Share Our Surplus for Refugee Relief</t>
  </si>
  <si>
    <t>https://mcc.org/</t>
  </si>
  <si>
    <r>
      <rPr>
        <b/>
        <i/>
        <sz val="12"/>
        <rFont val="Cambria"/>
        <family val="1"/>
      </rPr>
      <t xml:space="preserve">  Total donations 2018  Va Mennonite Relief Sale</t>
    </r>
    <r>
      <rPr>
        <i/>
        <sz val="12"/>
        <rFont val="Cambria"/>
        <family val="1"/>
      </rPr>
      <t xml:space="preserve"> </t>
    </r>
  </si>
  <si>
    <t>Opening Balance for 2019 Virginia Mennonite Relief Sale</t>
  </si>
  <si>
    <t>2018 OVERVIEW</t>
  </si>
  <si>
    <t>INCOME</t>
  </si>
  <si>
    <t>EXPENSES</t>
  </si>
  <si>
    <t>PROFIT</t>
  </si>
  <si>
    <t xml:space="preserve"> </t>
  </si>
  <si>
    <t>FOOD</t>
  </si>
  <si>
    <t>SEWING</t>
  </si>
  <si>
    <t>PRODUCE</t>
  </si>
  <si>
    <t>MISC  AREAS</t>
  </si>
  <si>
    <t>subtotal</t>
  </si>
  <si>
    <t>GENERAL EXPENSES</t>
  </si>
  <si>
    <t xml:space="preserve">                             </t>
  </si>
  <si>
    <t>Total</t>
  </si>
  <si>
    <t>General Expenses</t>
  </si>
  <si>
    <t>Advertising</t>
  </si>
  <si>
    <t>Newsprint</t>
  </si>
  <si>
    <t>Radio</t>
  </si>
  <si>
    <t>Signs</t>
  </si>
  <si>
    <t>E-Mail Marketing</t>
  </si>
  <si>
    <t>Total Ad Exp</t>
  </si>
  <si>
    <t>Insurance</t>
  </si>
  <si>
    <t>Miscellaneous</t>
  </si>
  <si>
    <t>Postage &amp; Delivery</t>
  </si>
  <si>
    <t>Printing &amp; Reproduction</t>
  </si>
  <si>
    <t>Office Supplies</t>
  </si>
  <si>
    <t>Service Charge</t>
  </si>
  <si>
    <t>returned check</t>
  </si>
  <si>
    <t>Legal Fees</t>
  </si>
  <si>
    <t>Va. State registration</t>
  </si>
  <si>
    <t>Martin Beachy &amp; Arehart</t>
  </si>
  <si>
    <t xml:space="preserve">Wharton Aldhizer &amp; Weaver </t>
  </si>
  <si>
    <t>Total Legal Fees</t>
  </si>
  <si>
    <t>Rent</t>
  </si>
  <si>
    <t>Eastern Mennonite High</t>
  </si>
  <si>
    <t xml:space="preserve">Food prep </t>
  </si>
  <si>
    <t xml:space="preserve">Chew Bros.  </t>
  </si>
  <si>
    <t>sound eq. rental</t>
  </si>
  <si>
    <t>KDP Inc.</t>
  </si>
  <si>
    <t>Sinks</t>
  </si>
  <si>
    <t>CVR rental</t>
  </si>
  <si>
    <t>Golf cart rental</t>
  </si>
  <si>
    <t>Rockingham Cty Fairgrounds</t>
  </si>
  <si>
    <t xml:space="preserve">  </t>
  </si>
  <si>
    <t>Total Rent</t>
  </si>
  <si>
    <t>Sanitation</t>
  </si>
  <si>
    <t xml:space="preserve">   Trash pickup</t>
  </si>
  <si>
    <t>;</t>
  </si>
  <si>
    <t>Repair &amp; Maintenance</t>
  </si>
  <si>
    <t>Utilities (Propane)</t>
  </si>
  <si>
    <t>General  Expense Total</t>
  </si>
  <si>
    <t>Food items</t>
  </si>
  <si>
    <t>Income</t>
  </si>
  <si>
    <t>Expense</t>
  </si>
  <si>
    <t>Profit</t>
  </si>
  <si>
    <t>Applebutter sold at Gift &amp; Thrift</t>
  </si>
  <si>
    <t>Applebutter</t>
  </si>
  <si>
    <t>BBQ Chicken</t>
  </si>
  <si>
    <t>Bread</t>
  </si>
  <si>
    <t>Breakfast</t>
  </si>
  <si>
    <t>Brunswick Stew</t>
  </si>
  <si>
    <t>Catfish meal</t>
  </si>
  <si>
    <t>Chicken Corn Soup</t>
  </si>
  <si>
    <r>
      <t xml:space="preserve">Cookies, </t>
    </r>
    <r>
      <rPr>
        <i/>
        <sz val="8"/>
        <rFont val="Cambria"/>
        <family val="1"/>
      </rPr>
      <t>Cakes,</t>
    </r>
    <r>
      <rPr>
        <i/>
        <sz val="12"/>
        <rFont val="Cambria"/>
        <family val="1"/>
      </rPr>
      <t xml:space="preserve"> </t>
    </r>
    <r>
      <rPr>
        <i/>
        <sz val="9"/>
        <rFont val="Cambria"/>
        <family val="1"/>
      </rPr>
      <t>Candy</t>
    </r>
  </si>
  <si>
    <t>Chili</t>
  </si>
  <si>
    <t>Donuts</t>
  </si>
  <si>
    <t>Drinks</t>
  </si>
  <si>
    <t>Friday Supper</t>
  </si>
  <si>
    <t>Funnel Cakes</t>
  </si>
  <si>
    <t>Hamburger, Hotdogs</t>
  </si>
  <si>
    <t>Ice Cream</t>
  </si>
  <si>
    <t>Indian Food</t>
  </si>
  <si>
    <t>Kettle Corn</t>
  </si>
  <si>
    <t>Laotian Egg Rolls</t>
  </si>
  <si>
    <t>Mexican Soup</t>
  </si>
  <si>
    <t>Pies</t>
  </si>
  <si>
    <t>Pies, Strawberry</t>
  </si>
  <si>
    <t>Pinchos</t>
  </si>
  <si>
    <t>Plate Lunch</t>
  </si>
  <si>
    <t>Potato Bar</t>
  </si>
  <si>
    <t>Potato Chips</t>
  </si>
  <si>
    <t>Sandwiches &amp; Potato Salad</t>
  </si>
  <si>
    <t>Tamales</t>
  </si>
  <si>
    <t>Tortillas</t>
  </si>
  <si>
    <t>Tea &amp; Lemonade</t>
  </si>
  <si>
    <t>Food Items Total</t>
  </si>
  <si>
    <t xml:space="preserve">                   Sewing,Wood &amp; Art items</t>
  </si>
  <si>
    <t xml:space="preserve">          Profit</t>
  </si>
  <si>
    <t>Ten Thousand Villages</t>
  </si>
  <si>
    <t>Country Corner</t>
  </si>
  <si>
    <t>Kiddie Corner</t>
  </si>
  <si>
    <t>Main Auction</t>
  </si>
  <si>
    <t>Plants</t>
  </si>
  <si>
    <t>.</t>
  </si>
  <si>
    <t>Rockingham &amp; Augusta Project</t>
  </si>
  <si>
    <t>Relief Sale towels</t>
  </si>
  <si>
    <t xml:space="preserve">Windchimes </t>
  </si>
  <si>
    <t xml:space="preserve">                                Produce, Cheese and Meat items</t>
  </si>
  <si>
    <t>Apples &amp; Cider</t>
  </si>
  <si>
    <t>Cheese &amp; Bologna</t>
  </si>
  <si>
    <t>Produce &amp; Can Goods</t>
  </si>
  <si>
    <t>Pumpkins</t>
  </si>
  <si>
    <t>Wenger Grapes</t>
  </si>
  <si>
    <t>Produce Total</t>
  </si>
  <si>
    <t xml:space="preserve">  Profit</t>
  </si>
  <si>
    <t>5 K Run</t>
  </si>
  <si>
    <t>50th Anniversary Book</t>
  </si>
  <si>
    <t>Ad Sponsor Income</t>
  </si>
  <si>
    <t>R V Parking</t>
  </si>
  <si>
    <t>Children's Activities</t>
  </si>
  <si>
    <t>Dividend</t>
  </si>
  <si>
    <t>Donations</t>
  </si>
  <si>
    <t>WoodSurgery by Dr. D</t>
  </si>
  <si>
    <t>Mutual Aid Exchange</t>
  </si>
  <si>
    <t>My Neighbor &amp; Me</t>
  </si>
  <si>
    <t>My Coins Count</t>
  </si>
  <si>
    <t>Reserved Seats</t>
  </si>
  <si>
    <t>Skeet  Shoot</t>
  </si>
  <si>
    <t>Misc.</t>
  </si>
  <si>
    <t>Share our Surplus</t>
  </si>
  <si>
    <t>Miscelleous Total</t>
  </si>
  <si>
    <t xml:space="preserve">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</si>
</sst>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.00\ ;&quot;($&quot;#,##0.00\)"/>
    <numFmt numFmtId="165" formatCode="#,##0.00;[Red]#,##0.00"/>
  </numFmts>
  <fonts count="12" x14ac:knownFonts="1">
    <font>
      <sz val="10"/>
      <name val="Arial"/>
      <family val="2"/>
    </font>
    <font>
      <sz val="10"/>
      <name val="MS Sans Serif"/>
      <family val="2"/>
    </font>
    <font>
      <i/>
      <sz val="12"/>
      <name val="Cambria"/>
      <family val="1"/>
    </font>
    <font>
      <b/>
      <i/>
      <sz val="12"/>
      <name val="Cambria"/>
      <family val="1"/>
    </font>
    <font>
      <i/>
      <sz val="12"/>
      <color rgb="FF000000"/>
      <name val="Cambria"/>
      <family val="1"/>
    </font>
    <font>
      <u/>
      <sz val="10"/>
      <color theme="10"/>
      <name val="Arial"/>
      <family val="2"/>
    </font>
    <font>
      <i/>
      <u/>
      <sz val="12"/>
      <color theme="10"/>
      <name val="Cambria"/>
      <family val="1"/>
    </font>
    <font>
      <i/>
      <sz val="12"/>
      <color rgb="FF292929"/>
      <name val="Cambria"/>
      <family val="1"/>
    </font>
    <font>
      <b/>
      <sz val="10"/>
      <name val="Arial"/>
      <family val="2"/>
    </font>
    <font>
      <i/>
      <sz val="8"/>
      <name val="Cambria"/>
      <family val="1"/>
    </font>
    <font>
      <i/>
      <sz val="9"/>
      <name val="Cambria"/>
      <family val="1"/>
    </font>
    <font>
      <i/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auto="1"/>
      </bottom>
      <diagonal/>
    </border>
  </borders>
  <cellStyleXfs count="6">
    <xf numFmtId="0" fontId="0" fillId="0" borderId="0"/>
    <xf numFmtId="4" fontId="1" fillId="0" borderId="0">
      <alignment vertical="top"/>
    </xf>
    <xf numFmtId="0" fontId="1" fillId="0" borderId="0">
      <alignment vertical="top"/>
    </xf>
    <xf numFmtId="164" fontId="1" fillId="0" borderId="0">
      <alignment vertical="top"/>
    </xf>
    <xf numFmtId="0" fontId="5" fillId="0" borderId="0" applyNumberFormat="0" applyFill="0" applyBorder="0" applyAlignment="0" applyProtection="0"/>
    <xf numFmtId="3" fontId="1" fillId="0" borderId="0">
      <alignment vertical="top"/>
    </xf>
  </cellStyleXfs>
  <cellXfs count="72">
    <xf numFmtId="0" fontId="0" fillId="0" borderId="0" xfId="0"/>
    <xf numFmtId="40" fontId="2" fillId="0" borderId="0" xfId="1" applyNumberFormat="1" applyFont="1" applyFill="1" applyBorder="1" applyAlignment="1" applyProtection="1">
      <alignment horizontal="center"/>
    </xf>
    <xf numFmtId="40" fontId="2" fillId="2" borderId="0" xfId="1" applyNumberFormat="1" applyFont="1" applyFill="1" applyBorder="1" applyAlignment="1" applyProtection="1">
      <alignment horizontal="center"/>
    </xf>
    <xf numFmtId="40" fontId="2" fillId="0" borderId="0" xfId="1" applyNumberFormat="1" applyFont="1" applyFill="1" applyBorder="1" applyAlignment="1" applyProtection="1"/>
    <xf numFmtId="40" fontId="2" fillId="0" borderId="0" xfId="2" applyNumberFormat="1" applyFont="1" applyBorder="1" applyAlignment="1">
      <alignment horizontal="center"/>
    </xf>
    <xf numFmtId="40" fontId="2" fillId="2" borderId="0" xfId="1" applyNumberFormat="1" applyFont="1" applyFill="1" applyBorder="1" applyAlignment="1" applyProtection="1"/>
    <xf numFmtId="40" fontId="3" fillId="0" borderId="0" xfId="1" applyNumberFormat="1" applyFont="1" applyFill="1" applyBorder="1" applyAlignment="1" applyProtection="1"/>
    <xf numFmtId="40" fontId="2" fillId="2" borderId="0" xfId="1" applyNumberFormat="1" applyFont="1" applyFill="1" applyBorder="1" applyAlignment="1" applyProtection="1">
      <alignment horizontal="right"/>
    </xf>
    <xf numFmtId="43" fontId="2" fillId="0" borderId="0" xfId="1" applyNumberFormat="1" applyFont="1" applyFill="1" applyBorder="1" applyAlignment="1" applyProtection="1"/>
    <xf numFmtId="0" fontId="2" fillId="0" borderId="0" xfId="0" applyFont="1"/>
    <xf numFmtId="43" fontId="4" fillId="0" borderId="0" xfId="3" applyNumberFormat="1" applyFont="1" applyFill="1" applyBorder="1" applyAlignment="1" applyProtection="1"/>
    <xf numFmtId="40" fontId="6" fillId="0" borderId="0" xfId="4" applyNumberFormat="1" applyFont="1" applyFill="1" applyBorder="1" applyAlignment="1" applyProtection="1"/>
    <xf numFmtId="44" fontId="6" fillId="0" borderId="0" xfId="4" applyNumberFormat="1" applyFont="1" applyFill="1" applyBorder="1" applyAlignment="1" applyProtection="1">
      <protection locked="0"/>
    </xf>
    <xf numFmtId="40" fontId="3" fillId="2" borderId="0" xfId="1" applyNumberFormat="1" applyFont="1" applyFill="1" applyBorder="1" applyAlignment="1" applyProtection="1"/>
    <xf numFmtId="44" fontId="2" fillId="0" borderId="0" xfId="1" applyNumberFormat="1" applyFont="1" applyFill="1" applyBorder="1" applyAlignment="1" applyProtection="1"/>
    <xf numFmtId="40" fontId="2" fillId="0" borderId="0" xfId="1" applyNumberFormat="1" applyFont="1" applyFill="1" applyBorder="1" applyAlignment="1" applyProtection="1">
      <alignment horizontal="right"/>
    </xf>
    <xf numFmtId="43" fontId="2" fillId="0" borderId="0" xfId="0" applyNumberFormat="1" applyFont="1" applyAlignment="1">
      <alignment horizontal="right"/>
    </xf>
    <xf numFmtId="8" fontId="2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 applyFill="1"/>
    <xf numFmtId="0" fontId="2" fillId="0" borderId="0" xfId="0" applyFont="1" applyBorder="1"/>
    <xf numFmtId="40" fontId="3" fillId="2" borderId="0" xfId="1" applyNumberFormat="1" applyFont="1" applyFill="1" applyBorder="1" applyAlignment="1" applyProtection="1">
      <alignment vertical="top"/>
    </xf>
    <xf numFmtId="40" fontId="6" fillId="0" borderId="0" xfId="4" applyNumberFormat="1" applyFont="1" applyFill="1" applyBorder="1" applyAlignment="1" applyProtection="1">
      <alignment vertical="top"/>
    </xf>
    <xf numFmtId="43" fontId="2" fillId="0" borderId="0" xfId="1" applyNumberFormat="1" applyFont="1" applyFill="1" applyBorder="1" applyAlignment="1" applyProtection="1">
      <alignment horizontal="right" vertical="top"/>
    </xf>
    <xf numFmtId="40" fontId="2" fillId="2" borderId="0" xfId="1" applyNumberFormat="1" applyFont="1" applyFill="1" applyBorder="1" applyAlignment="1" applyProtection="1">
      <alignment vertical="top"/>
    </xf>
    <xf numFmtId="43" fontId="2" fillId="0" borderId="0" xfId="1" applyNumberFormat="1" applyFont="1" applyFill="1" applyBorder="1" applyAlignment="1" applyProtection="1">
      <alignment horizontal="right"/>
    </xf>
    <xf numFmtId="43" fontId="2" fillId="0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/>
    <xf numFmtId="165" fontId="2" fillId="0" borderId="0" xfId="1" applyNumberFormat="1" applyFont="1" applyFill="1" applyBorder="1" applyAlignment="1" applyProtection="1"/>
    <xf numFmtId="40" fontId="2" fillId="2" borderId="1" xfId="1" applyNumberFormat="1" applyFont="1" applyFill="1" applyBorder="1" applyAlignment="1" applyProtection="1"/>
    <xf numFmtId="40" fontId="2" fillId="0" borderId="1" xfId="1" applyNumberFormat="1" applyFont="1" applyFill="1" applyBorder="1" applyAlignment="1" applyProtection="1"/>
    <xf numFmtId="43" fontId="2" fillId="0" borderId="1" xfId="1" applyNumberFormat="1" applyFont="1" applyFill="1" applyBorder="1" applyAlignment="1" applyProtection="1"/>
    <xf numFmtId="8" fontId="2" fillId="0" borderId="0" xfId="1" applyNumberFormat="1" applyFont="1" applyFill="1" applyBorder="1" applyAlignment="1" applyProtection="1"/>
    <xf numFmtId="8" fontId="2" fillId="0" borderId="0" xfId="1" applyNumberFormat="1" applyFont="1" applyFill="1" applyBorder="1" applyAlignment="1" applyProtection="1">
      <alignment horizontal="center"/>
    </xf>
    <xf numFmtId="165" fontId="2" fillId="0" borderId="0" xfId="1" applyNumberFormat="1" applyFont="1" applyFill="1" applyBorder="1" applyAlignment="1" applyProtection="1">
      <alignment horizontal="center"/>
    </xf>
    <xf numFmtId="165" fontId="2" fillId="0" borderId="0" xfId="0" applyNumberFormat="1" applyFont="1" applyAlignment="1"/>
    <xf numFmtId="165" fontId="2" fillId="0" borderId="0" xfId="0" applyNumberFormat="1" applyFont="1"/>
    <xf numFmtId="165" fontId="2" fillId="0" borderId="1" xfId="1" applyNumberFormat="1" applyFont="1" applyFill="1" applyBorder="1" applyAlignment="1" applyProtection="1"/>
    <xf numFmtId="165" fontId="2" fillId="2" borderId="0" xfId="1" applyNumberFormat="1" applyFont="1" applyFill="1" applyBorder="1" applyAlignment="1" applyProtection="1">
      <alignment horizontal="left" indent="8"/>
    </xf>
    <xf numFmtId="10" fontId="2" fillId="0" borderId="0" xfId="1" applyNumberFormat="1" applyFont="1" applyFill="1" applyBorder="1" applyAlignment="1" applyProtection="1"/>
    <xf numFmtId="40" fontId="2" fillId="2" borderId="0" xfId="0" applyNumberFormat="1" applyFont="1" applyFill="1"/>
    <xf numFmtId="40" fontId="2" fillId="0" borderId="0" xfId="0" applyNumberFormat="1" applyFont="1"/>
    <xf numFmtId="40" fontId="2" fillId="2" borderId="0" xfId="2" applyNumberFormat="1" applyFont="1" applyFill="1" applyAlignment="1"/>
    <xf numFmtId="0" fontId="2" fillId="2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>
      <alignment horizontal="center"/>
    </xf>
    <xf numFmtId="0" fontId="2" fillId="0" borderId="0" xfId="2" applyNumberFormat="1" applyFont="1" applyAlignment="1">
      <alignment horizontal="center"/>
    </xf>
    <xf numFmtId="40" fontId="2" fillId="2" borderId="1" xfId="1" applyNumberFormat="1" applyFont="1" applyFill="1" applyBorder="1" applyAlignment="1" applyProtection="1">
      <alignment horizontal="center"/>
    </xf>
    <xf numFmtId="40" fontId="2" fillId="0" borderId="1" xfId="1" applyNumberFormat="1" applyFont="1" applyFill="1" applyBorder="1" applyAlignment="1" applyProtection="1">
      <alignment horizontal="center"/>
    </xf>
    <xf numFmtId="40" fontId="4" fillId="0" borderId="1" xfId="1" applyNumberFormat="1" applyFont="1" applyFill="1" applyBorder="1" applyAlignment="1" applyProtection="1">
      <alignment horizontal="center"/>
    </xf>
    <xf numFmtId="40" fontId="2" fillId="0" borderId="2" xfId="1" applyNumberFormat="1" applyFont="1" applyFill="1" applyBorder="1" applyAlignment="1" applyProtection="1">
      <alignment horizontal="center"/>
    </xf>
    <xf numFmtId="40" fontId="2" fillId="0" borderId="0" xfId="1" applyNumberFormat="1" applyFont="1" applyFill="1" applyBorder="1" applyAlignment="1" applyProtection="1">
      <alignment wrapText="1"/>
    </xf>
    <xf numFmtId="40" fontId="4" fillId="0" borderId="0" xfId="1" applyNumberFormat="1" applyFont="1" applyFill="1" applyBorder="1" applyAlignment="1" applyProtection="1"/>
    <xf numFmtId="40" fontId="2" fillId="0" borderId="0" xfId="1" applyNumberFormat="1" applyFont="1" applyFill="1" applyBorder="1" applyAlignment="1" applyProtection="1">
      <alignment shrinkToFit="1"/>
    </xf>
    <xf numFmtId="40" fontId="11" fillId="0" borderId="0" xfId="1" applyNumberFormat="1" applyFont="1" applyFill="1" applyBorder="1" applyAlignment="1" applyProtection="1"/>
    <xf numFmtId="165" fontId="2" fillId="2" borderId="3" xfId="1" applyNumberFormat="1" applyFont="1" applyFill="1" applyBorder="1" applyAlignment="1" applyProtection="1"/>
    <xf numFmtId="165" fontId="2" fillId="0" borderId="3" xfId="0" applyNumberFormat="1" applyFont="1" applyBorder="1"/>
    <xf numFmtId="165" fontId="2" fillId="0" borderId="3" xfId="1" applyNumberFormat="1" applyFont="1" applyFill="1" applyBorder="1" applyAlignment="1" applyProtection="1"/>
    <xf numFmtId="40" fontId="2" fillId="0" borderId="3" xfId="1" applyNumberFormat="1" applyFont="1" applyFill="1" applyBorder="1" applyAlignment="1" applyProtection="1"/>
    <xf numFmtId="40" fontId="4" fillId="0" borderId="3" xfId="1" applyNumberFormat="1" applyFont="1" applyFill="1" applyBorder="1" applyAlignment="1" applyProtection="1"/>
    <xf numFmtId="40" fontId="2" fillId="0" borderId="3" xfId="0" applyNumberFormat="1" applyFont="1" applyBorder="1"/>
    <xf numFmtId="0" fontId="2" fillId="0" borderId="0" xfId="1" applyNumberFormat="1" applyFont="1" applyFill="1" applyBorder="1" applyAlignment="1" applyProtection="1"/>
    <xf numFmtId="165" fontId="2" fillId="2" borderId="2" xfId="1" applyNumberFormat="1" applyFont="1" applyFill="1" applyBorder="1" applyAlignment="1" applyProtection="1">
      <alignment horizontal="center"/>
    </xf>
    <xf numFmtId="165" fontId="2" fillId="0" borderId="2" xfId="1" applyNumberFormat="1" applyFont="1" applyFill="1" applyBorder="1" applyAlignment="1" applyProtection="1">
      <alignment horizontal="center"/>
    </xf>
    <xf numFmtId="165" fontId="2" fillId="0" borderId="1" xfId="1" applyNumberFormat="1" applyFont="1" applyFill="1" applyBorder="1" applyAlignment="1" applyProtection="1">
      <alignment horizontal="center"/>
    </xf>
    <xf numFmtId="40" fontId="2" fillId="0" borderId="0" xfId="1" quotePrefix="1" applyNumberFormat="1" applyFont="1" applyFill="1" applyBorder="1" applyAlignment="1" applyProtection="1"/>
    <xf numFmtId="165" fontId="3" fillId="0" borderId="0" xfId="0" applyNumberFormat="1" applyFont="1"/>
    <xf numFmtId="165" fontId="2" fillId="2" borderId="0" xfId="1" applyNumberFormat="1" applyFont="1" applyFill="1" applyBorder="1" applyAlignment="1" applyProtection="1">
      <alignment horizontal="center"/>
    </xf>
    <xf numFmtId="0" fontId="2" fillId="0" borderId="0" xfId="5" applyNumberFormat="1" applyFont="1" applyFill="1" applyBorder="1" applyAlignment="1" applyProtection="1">
      <alignment horizontal="center"/>
    </xf>
    <xf numFmtId="165" fontId="2" fillId="2" borderId="0" xfId="0" applyNumberFormat="1" applyFont="1" applyFill="1"/>
    <xf numFmtId="165" fontId="3" fillId="2" borderId="0" xfId="1" applyNumberFormat="1" applyFont="1" applyFill="1" applyBorder="1" applyAlignment="1" applyProtection="1"/>
    <xf numFmtId="165" fontId="3" fillId="0" borderId="0" xfId="1" applyNumberFormat="1" applyFont="1" applyFill="1" applyBorder="1" applyAlignment="1" applyProtection="1"/>
  </cellXfs>
  <cellStyles count="6">
    <cellStyle name="Comma0" xfId="5" xr:uid="{E56912C1-69CD-4DF8-A5B4-15439DFBF78F}"/>
    <cellStyle name="Excel Built-in Comma" xfId="1" xr:uid="{07A6B3A1-5F7D-4CDB-85DF-44B9F43E2B49}"/>
    <cellStyle name="Excel Built-in Currency" xfId="3" xr:uid="{AC040489-6BF1-4200-94D8-EB090661E872}"/>
    <cellStyle name="Excel Built-in Normal" xfId="2" xr:uid="{C2D5E108-8808-42FB-9920-B2B71DC1B10B}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1456011</xdr:colOff>
      <xdr:row>0</xdr:row>
      <xdr:rowOff>95813</xdr:rowOff>
    </xdr:from>
    <xdr:to>
      <xdr:col>9</xdr:col>
      <xdr:colOff>243752</xdr:colOff>
      <xdr:row>6</xdr:row>
      <xdr:rowOff>112213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AB6683-943C-4988-9311-A895A2F51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6011" y="95813"/>
          <a:ext cx="7861891" cy="1159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3</xdr:col>
      <xdr:colOff>0</xdr:colOff>
      <xdr:row>43</xdr:row>
      <xdr:rowOff>180838</xdr:rowOff>
    </xdr:from>
    <xdr:ext cx="1107012" cy="11746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283A9A8-ADF9-4CEA-9E6F-4A42726EA980}"/>
            </a:ext>
          </a:extLst>
        </xdr:cNvPr>
        <xdr:cNvSpPr txBox="1"/>
      </xdr:nvSpPr>
      <xdr:spPr>
        <a:xfrm rot="2088588">
          <a:off x="3079750" y="8397738"/>
          <a:ext cx="1107012" cy="1174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 sz="1600" b="0">
            <a:latin typeface="Tekton Pro Cond" pitchFamily="34" charset="0"/>
          </a:endParaRPr>
        </a:p>
      </xdr:txBody>
    </xdr:sp>
    <xdr:clientData/>
  </xdr:oneCellAnchor>
  <xdr:oneCellAnchor>
    <xdr:from>
      <xdr:col>10</xdr:col>
      <xdr:colOff>422031</xdr:colOff>
      <xdr:row>13</xdr:row>
      <xdr:rowOff>0</xdr:rowOff>
    </xdr:from>
    <xdr:ext cx="1119553" cy="30846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1CC7B99-5221-4961-9D91-30802566C5C3}"/>
            </a:ext>
          </a:extLst>
        </xdr:cNvPr>
        <xdr:cNvSpPr txBox="1"/>
      </xdr:nvSpPr>
      <xdr:spPr>
        <a:xfrm>
          <a:off x="10435981" y="2476500"/>
          <a:ext cx="1119553" cy="308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 sz="1100">
            <a:latin typeface="Andalus" pitchFamily="18" charset="-78"/>
            <a:cs typeface="Andalus" pitchFamily="18" charset="-78"/>
          </a:endParaRPr>
        </a:p>
      </xdr:txBody>
    </xdr:sp>
    <xdr:clientData/>
  </xdr:oneCellAnchor>
  <xdr:oneCellAnchor>
    <xdr:from>
      <xdr:col>5</xdr:col>
      <xdr:colOff>448773</xdr:colOff>
      <xdr:row>148</xdr:row>
      <xdr:rowOff>183173</xdr:rowOff>
    </xdr:from>
    <xdr:ext cx="45719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B37AB6A-E374-4043-8FA5-3DDD654C8881}"/>
            </a:ext>
          </a:extLst>
        </xdr:cNvPr>
        <xdr:cNvSpPr txBox="1"/>
      </xdr:nvSpPr>
      <xdr:spPr>
        <a:xfrm flipH="1">
          <a:off x="4887423" y="28669273"/>
          <a:ext cx="4571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1" baseline="0"/>
            <a:t>  </a:t>
          </a:r>
          <a:endParaRPr lang="en-US" sz="1400" b="1" i="1"/>
        </a:p>
      </xdr:txBody>
    </xdr:sp>
    <xdr:clientData/>
  </xdr:oneCellAnchor>
  <xdr:oneCellAnchor>
    <xdr:from>
      <xdr:col>8</xdr:col>
      <xdr:colOff>128221</xdr:colOff>
      <xdr:row>22</xdr:row>
      <xdr:rowOff>137380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4DFE559-C373-4940-89A3-93457593D1A3}"/>
            </a:ext>
          </a:extLst>
        </xdr:cNvPr>
        <xdr:cNvSpPr txBox="1"/>
      </xdr:nvSpPr>
      <xdr:spPr>
        <a:xfrm>
          <a:off x="8211771" y="4353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754459</xdr:colOff>
      <xdr:row>17</xdr:row>
      <xdr:rowOff>0</xdr:rowOff>
    </xdr:from>
    <xdr:ext cx="1498203" cy="18216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3F58349-8FA2-415A-920A-102B1D009C02}"/>
            </a:ext>
          </a:extLst>
        </xdr:cNvPr>
        <xdr:cNvSpPr txBox="1"/>
      </xdr:nvSpPr>
      <xdr:spPr>
        <a:xfrm>
          <a:off x="754459" y="3238500"/>
          <a:ext cx="1498203" cy="182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                                                  </a:t>
          </a:r>
        </a:p>
      </xdr:txBody>
    </xdr:sp>
    <xdr:clientData/>
  </xdr:oneCellAnchor>
  <xdr:oneCellAnchor>
    <xdr:from>
      <xdr:col>0</xdr:col>
      <xdr:colOff>1309688</xdr:colOff>
      <xdr:row>12</xdr:row>
      <xdr:rowOff>17554</xdr:rowOff>
    </xdr:from>
    <xdr:ext cx="178593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DCF7259-C5F4-4F66-900D-41326D875402}"/>
            </a:ext>
          </a:extLst>
        </xdr:cNvPr>
        <xdr:cNvSpPr txBox="1"/>
      </xdr:nvSpPr>
      <xdr:spPr>
        <a:xfrm>
          <a:off x="1309688" y="2303554"/>
          <a:ext cx="17859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438150</xdr:colOff>
      <xdr:row>13</xdr:row>
      <xdr:rowOff>0</xdr:rowOff>
    </xdr:from>
    <xdr:ext cx="196850" cy="269173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1A7A8AA-712E-48F6-A094-1046D1055666}"/>
            </a:ext>
          </a:extLst>
        </xdr:cNvPr>
        <xdr:cNvSpPr txBox="1"/>
      </xdr:nvSpPr>
      <xdr:spPr>
        <a:xfrm>
          <a:off x="4876800" y="2476500"/>
          <a:ext cx="196850" cy="269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400"/>
        </a:p>
      </xdr:txBody>
    </xdr:sp>
    <xdr:clientData/>
  </xdr:oneCellAnchor>
  <xdr:oneCellAnchor>
    <xdr:from>
      <xdr:col>0</xdr:col>
      <xdr:colOff>908050</xdr:colOff>
      <xdr:row>7</xdr:row>
      <xdr:rowOff>85725</xdr:rowOff>
    </xdr:from>
    <xdr:ext cx="1135062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3DD5EC1-F238-45B1-9FDD-78C47D9B74FC}"/>
            </a:ext>
          </a:extLst>
        </xdr:cNvPr>
        <xdr:cNvSpPr txBox="1"/>
      </xdr:nvSpPr>
      <xdr:spPr>
        <a:xfrm>
          <a:off x="908050" y="1419225"/>
          <a:ext cx="11350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2EB96-E3AE-4D27-BE6B-0C996EFAA8FF}">
  <dimension ref="A1:U196"/>
  <sheetViews>
    <sheetView showGridLines="0" tabSelected="1" zoomScale="99" zoomScaleNormal="100" zoomScalePageLayoutView="35" workbookViewId="0">
      <selection activeCell="A11" sqref="A11"/>
    </sheetView>
  </sheetViews>
  <sheetFormatPr defaultColWidth="14.1796875" defaultRowHeight="15" x14ac:dyDescent="0.3"/>
  <cols>
    <col min="1" max="1" width="22" style="3" customWidth="1"/>
    <col min="2" max="2" width="19.26953125" style="5" customWidth="1"/>
    <col min="3" max="3" width="2.81640625" style="5" customWidth="1"/>
    <col min="4" max="4" width="16.26953125" style="3" customWidth="1"/>
    <col min="5" max="5" width="3.1796875" style="3" customWidth="1"/>
    <col min="6" max="6" width="24.26953125" style="3" customWidth="1"/>
    <col min="7" max="7" width="13.453125" style="3" customWidth="1"/>
    <col min="8" max="8" width="14.453125" style="3" customWidth="1"/>
    <col min="9" max="9" width="14.1796875" style="3" customWidth="1"/>
    <col min="10" max="10" width="13.453125" style="3" customWidth="1"/>
    <col min="11" max="11" width="13" style="9" customWidth="1"/>
    <col min="12" max="12" width="13.453125" style="3" customWidth="1"/>
    <col min="13" max="13" width="13.1796875" style="3" customWidth="1"/>
    <col min="14" max="14" width="13.7265625" style="3" customWidth="1"/>
    <col min="15" max="16" width="14.1796875" style="3" customWidth="1"/>
    <col min="17" max="17" width="14" style="3" customWidth="1"/>
    <col min="18" max="18" width="14.26953125" style="3" customWidth="1"/>
    <col min="19" max="19" width="14.1796875" style="3" customWidth="1"/>
    <col min="20" max="20" width="13.81640625" style="3" customWidth="1"/>
    <col min="21" max="21" width="13.7265625" style="3" customWidth="1"/>
    <col min="22" max="16384" width="14.1796875" style="3"/>
  </cols>
  <sheetData>
    <row r="1" spans="1:11" x14ac:dyDescent="0.3">
      <c r="A1" s="1"/>
      <c r="B1" s="2"/>
      <c r="C1" s="2"/>
      <c r="D1" s="1"/>
      <c r="E1" s="1"/>
      <c r="K1" s="3"/>
    </row>
    <row r="2" spans="1:11" x14ac:dyDescent="0.3">
      <c r="A2" s="1"/>
      <c r="B2" s="2"/>
      <c r="C2" s="2"/>
      <c r="D2" s="1"/>
      <c r="E2" s="1"/>
      <c r="K2" s="3"/>
    </row>
    <row r="3" spans="1:11" x14ac:dyDescent="0.3">
      <c r="A3" s="1"/>
      <c r="B3" s="2"/>
      <c r="C3" s="2"/>
      <c r="D3" s="1"/>
      <c r="E3" s="1"/>
      <c r="K3" s="3"/>
    </row>
    <row r="4" spans="1:11" x14ac:dyDescent="0.3">
      <c r="A4" s="1"/>
      <c r="B4" s="2"/>
      <c r="C4" s="2"/>
      <c r="D4" s="1"/>
      <c r="E4" s="1"/>
      <c r="K4" s="3"/>
    </row>
    <row r="5" spans="1:11" x14ac:dyDescent="0.3">
      <c r="A5" s="1"/>
      <c r="B5" s="2"/>
      <c r="C5" s="2"/>
      <c r="D5" s="1"/>
      <c r="E5" s="1"/>
      <c r="K5" s="3"/>
    </row>
    <row r="6" spans="1:11" x14ac:dyDescent="0.3">
      <c r="A6" s="1"/>
      <c r="B6" s="2"/>
      <c r="C6" s="2"/>
      <c r="D6" s="1"/>
      <c r="E6" s="1"/>
      <c r="K6" s="3"/>
    </row>
    <row r="7" spans="1:11" x14ac:dyDescent="0.3">
      <c r="A7" s="1"/>
      <c r="B7" s="2"/>
      <c r="C7" s="2"/>
      <c r="D7" s="1"/>
      <c r="E7" s="1"/>
      <c r="K7" s="3"/>
    </row>
    <row r="8" spans="1:11" x14ac:dyDescent="0.3">
      <c r="B8" s="4"/>
      <c r="D8" s="1"/>
      <c r="E8" s="1"/>
      <c r="F8" s="6" t="s">
        <v>0</v>
      </c>
      <c r="H8" s="7" t="s">
        <v>1</v>
      </c>
      <c r="I8" s="8">
        <v>25.54</v>
      </c>
    </row>
    <row r="9" spans="1:11" x14ac:dyDescent="0.3">
      <c r="D9" s="5" t="s">
        <v>2</v>
      </c>
      <c r="E9" s="5"/>
      <c r="I9" s="10">
        <v>52713.64</v>
      </c>
      <c r="J9" s="9"/>
    </row>
    <row r="10" spans="1:11" x14ac:dyDescent="0.3">
      <c r="B10" s="6"/>
      <c r="E10" s="11"/>
      <c r="F10" s="12"/>
      <c r="G10" s="11"/>
      <c r="H10" s="7" t="s">
        <v>3</v>
      </c>
      <c r="I10" s="8">
        <f>F39</f>
        <v>370181.41000000003</v>
      </c>
      <c r="K10" s="3"/>
    </row>
    <row r="11" spans="1:11" x14ac:dyDescent="0.3">
      <c r="B11" s="6"/>
      <c r="E11" s="11"/>
      <c r="F11" s="12"/>
      <c r="G11" s="11"/>
      <c r="H11" s="7" t="s">
        <v>4</v>
      </c>
      <c r="I11" s="8">
        <f>H39</f>
        <v>-67548.899999999994</v>
      </c>
      <c r="K11" s="3"/>
    </row>
    <row r="12" spans="1:11" x14ac:dyDescent="0.3">
      <c r="B12" s="13" t="s">
        <v>5</v>
      </c>
      <c r="F12" s="14"/>
      <c r="I12" s="8">
        <v>-5220</v>
      </c>
      <c r="K12" s="3"/>
    </row>
    <row r="13" spans="1:11" x14ac:dyDescent="0.3">
      <c r="H13" s="15" t="s">
        <v>6</v>
      </c>
      <c r="I13" s="8">
        <f>SUM(I9:I12)</f>
        <v>350126.15</v>
      </c>
      <c r="K13" s="3"/>
    </row>
    <row r="14" spans="1:11" x14ac:dyDescent="0.3">
      <c r="B14" s="5" t="s">
        <v>7</v>
      </c>
      <c r="G14" s="6"/>
      <c r="H14" s="11"/>
      <c r="I14" s="16">
        <f>F179/2</f>
        <v>12636.86</v>
      </c>
    </row>
    <row r="15" spans="1:11" x14ac:dyDescent="0.3">
      <c r="B15" s="5" t="s">
        <v>8</v>
      </c>
      <c r="H15" s="11"/>
      <c r="I15" s="8"/>
      <c r="J15" s="17"/>
    </row>
    <row r="16" spans="1:11" x14ac:dyDescent="0.3">
      <c r="H16" s="11"/>
      <c r="I16" s="8"/>
      <c r="J16" s="17"/>
    </row>
    <row r="17" spans="1:12" x14ac:dyDescent="0.3">
      <c r="B17" s="13" t="s">
        <v>9</v>
      </c>
      <c r="G17" s="6"/>
      <c r="H17" s="11"/>
      <c r="I17" s="8">
        <f>B153/2</f>
        <v>2650</v>
      </c>
    </row>
    <row r="18" spans="1:12" x14ac:dyDescent="0.3">
      <c r="B18" s="18" t="s">
        <v>10</v>
      </c>
      <c r="H18" s="11"/>
      <c r="I18" s="8"/>
    </row>
    <row r="19" spans="1:12" x14ac:dyDescent="0.3">
      <c r="B19" s="18"/>
      <c r="H19" s="11"/>
      <c r="I19" s="8"/>
    </row>
    <row r="20" spans="1:12" ht="17.25" customHeight="1" x14ac:dyDescent="0.3">
      <c r="B20" s="19" t="s">
        <v>11</v>
      </c>
      <c r="H20" s="11"/>
      <c r="I20" s="8">
        <f>B153/2</f>
        <v>2650</v>
      </c>
      <c r="K20" s="20"/>
    </row>
    <row r="21" spans="1:12" x14ac:dyDescent="0.3">
      <c r="B21" s="3" t="s">
        <v>12</v>
      </c>
      <c r="H21" s="11"/>
      <c r="I21" s="8"/>
    </row>
    <row r="22" spans="1:12" x14ac:dyDescent="0.3">
      <c r="B22" s="3"/>
      <c r="H22" s="11"/>
      <c r="I22" s="8"/>
    </row>
    <row r="23" spans="1:12" x14ac:dyDescent="0.3">
      <c r="B23" s="21" t="s">
        <v>13</v>
      </c>
      <c r="H23" s="22"/>
      <c r="I23" s="23">
        <f>280000-31508.22</f>
        <v>248491.78</v>
      </c>
    </row>
    <row r="24" spans="1:12" x14ac:dyDescent="0.3">
      <c r="B24" s="21"/>
      <c r="C24" s="13" t="s">
        <v>14</v>
      </c>
      <c r="H24" s="22"/>
      <c r="I24" s="23">
        <f>F183</f>
        <v>31508.22</v>
      </c>
    </row>
    <row r="25" spans="1:12" x14ac:dyDescent="0.3">
      <c r="B25" s="24" t="s">
        <v>15</v>
      </c>
      <c r="H25" s="22"/>
      <c r="I25" s="23"/>
    </row>
    <row r="26" spans="1:12" x14ac:dyDescent="0.3">
      <c r="B26" s="21"/>
      <c r="H26" s="22"/>
      <c r="I26" s="23"/>
    </row>
    <row r="27" spans="1:12" x14ac:dyDescent="0.3">
      <c r="B27" s="3" t="s">
        <v>16</v>
      </c>
      <c r="H27" s="11"/>
      <c r="I27" s="25">
        <f>SUM(I14,I17,I20,I23,I24)</f>
        <v>297936.86</v>
      </c>
      <c r="K27" s="3"/>
    </row>
    <row r="28" spans="1:12" s="1" customFormat="1" x14ac:dyDescent="0.3">
      <c r="A28" s="3"/>
      <c r="B28" s="3"/>
      <c r="C28" s="5"/>
      <c r="D28" s="5" t="s">
        <v>17</v>
      </c>
      <c r="E28" s="3"/>
      <c r="F28" s="3"/>
      <c r="G28" s="3"/>
      <c r="H28" s="3"/>
      <c r="I28" s="8">
        <f>SUM(I13-I27)</f>
        <v>52189.290000000037</v>
      </c>
      <c r="J28" s="3"/>
    </row>
    <row r="29" spans="1:12" x14ac:dyDescent="0.3">
      <c r="A29" s="1"/>
      <c r="B29" s="5" t="s">
        <v>18</v>
      </c>
      <c r="F29" s="1" t="s">
        <v>19</v>
      </c>
      <c r="G29" s="1"/>
      <c r="H29" s="1" t="s">
        <v>20</v>
      </c>
      <c r="I29" s="26" t="s">
        <v>21</v>
      </c>
      <c r="J29" s="1"/>
      <c r="K29" s="1"/>
      <c r="L29" s="3" t="s">
        <v>22</v>
      </c>
    </row>
    <row r="30" spans="1:12" x14ac:dyDescent="0.3">
      <c r="B30" s="5" t="s">
        <v>23</v>
      </c>
      <c r="F30" s="3">
        <f>B133</f>
        <v>121508.27</v>
      </c>
      <c r="H30" s="3">
        <f>-D133</f>
        <v>-26359.859999999993</v>
      </c>
      <c r="I30" s="8">
        <f>F30+H30</f>
        <v>95148.41</v>
      </c>
      <c r="K30" s="3"/>
    </row>
    <row r="31" spans="1:12" x14ac:dyDescent="0.3">
      <c r="I31" s="8"/>
      <c r="K31" s="3"/>
    </row>
    <row r="32" spans="1:12" x14ac:dyDescent="0.3">
      <c r="B32" s="5" t="s">
        <v>24</v>
      </c>
      <c r="F32" s="3">
        <f>B156</f>
        <v>128270.12</v>
      </c>
      <c r="H32" s="3">
        <f>-D156</f>
        <v>-6547</v>
      </c>
      <c r="I32" s="8">
        <f>F32+H32</f>
        <v>121723.12</v>
      </c>
      <c r="K32" s="3"/>
    </row>
    <row r="33" spans="1:19" x14ac:dyDescent="0.3">
      <c r="I33" s="8"/>
      <c r="K33" s="3"/>
      <c r="L33" s="27"/>
    </row>
    <row r="34" spans="1:19" x14ac:dyDescent="0.3">
      <c r="B34" s="5" t="s">
        <v>25</v>
      </c>
      <c r="F34" s="3">
        <f>B165</f>
        <v>14589.61</v>
      </c>
      <c r="H34" s="3">
        <f>-D165</f>
        <v>-5707.96</v>
      </c>
      <c r="I34" s="8">
        <f>F34+H34</f>
        <v>8881.6500000000015</v>
      </c>
      <c r="K34" s="3"/>
      <c r="L34" s="27"/>
      <c r="O34" s="28"/>
    </row>
    <row r="35" spans="1:19" x14ac:dyDescent="0.3">
      <c r="I35" s="8"/>
      <c r="K35" s="3"/>
      <c r="L35" s="28"/>
      <c r="O35" s="28"/>
    </row>
    <row r="36" spans="1:19" x14ac:dyDescent="0.3">
      <c r="B36" s="5" t="s">
        <v>26</v>
      </c>
      <c r="F36" s="3">
        <f>B184</f>
        <v>105813.41</v>
      </c>
      <c r="H36" s="3">
        <f>-D184</f>
        <v>-2820</v>
      </c>
      <c r="I36" s="8">
        <f>F36+H36</f>
        <v>102993.41</v>
      </c>
      <c r="K36" s="3"/>
      <c r="O36" s="28"/>
    </row>
    <row r="37" spans="1:19" x14ac:dyDescent="0.3">
      <c r="D37" s="15" t="s">
        <v>27</v>
      </c>
      <c r="F37" s="3">
        <f>SUM(F30:F36)</f>
        <v>370181.41000000003</v>
      </c>
      <c r="H37" s="3">
        <f>SUM(H30:H36)</f>
        <v>-41434.819999999992</v>
      </c>
      <c r="I37" s="8">
        <f>SUM(I30:I36)</f>
        <v>328746.58999999997</v>
      </c>
      <c r="K37" s="3"/>
    </row>
    <row r="38" spans="1:19" x14ac:dyDescent="0.3">
      <c r="B38" s="29" t="s">
        <v>28</v>
      </c>
      <c r="C38" s="29"/>
      <c r="D38" s="30"/>
      <c r="E38" s="30"/>
      <c r="F38" s="30"/>
      <c r="G38" s="30"/>
      <c r="H38" s="30">
        <f>-I81</f>
        <v>-26114.079999999998</v>
      </c>
      <c r="I38" s="31"/>
      <c r="K38" s="3"/>
    </row>
    <row r="39" spans="1:19" x14ac:dyDescent="0.3">
      <c r="A39" s="3" t="s">
        <v>29</v>
      </c>
      <c r="D39" s="7" t="s">
        <v>30</v>
      </c>
      <c r="F39" s="3">
        <f>SUM(F30:F36)</f>
        <v>370181.41000000003</v>
      </c>
      <c r="H39" s="3">
        <f>SUM(H37:H38)</f>
        <v>-67548.899999999994</v>
      </c>
      <c r="I39" s="8">
        <f>F39+H39</f>
        <v>302632.51</v>
      </c>
      <c r="L39" s="27"/>
      <c r="O39" s="28"/>
    </row>
    <row r="40" spans="1:19" x14ac:dyDescent="0.3">
      <c r="B40" s="3"/>
      <c r="C40" s="3"/>
      <c r="I40" s="8"/>
      <c r="K40" s="3"/>
    </row>
    <row r="41" spans="1:19" x14ac:dyDescent="0.3">
      <c r="B41" s="3"/>
      <c r="H41" s="9"/>
      <c r="I41" s="8"/>
      <c r="K41" s="3"/>
      <c r="L41" s="5"/>
      <c r="M41" s="5"/>
      <c r="N41" s="5"/>
      <c r="S41" s="32"/>
    </row>
    <row r="42" spans="1:19" x14ac:dyDescent="0.3">
      <c r="B42" s="9"/>
      <c r="H42" s="9"/>
      <c r="K42" s="3"/>
      <c r="L42" s="5"/>
      <c r="M42" s="5"/>
      <c r="N42" s="5"/>
    </row>
    <row r="43" spans="1:19" x14ac:dyDescent="0.3">
      <c r="B43" s="3"/>
      <c r="C43" s="3"/>
      <c r="K43" s="3"/>
      <c r="L43" s="5"/>
      <c r="M43" s="5"/>
      <c r="N43" s="5"/>
      <c r="Q43" s="33"/>
      <c r="R43" s="32"/>
    </row>
    <row r="44" spans="1:19" x14ac:dyDescent="0.3">
      <c r="B44" s="3"/>
      <c r="C44" s="3"/>
      <c r="K44" s="3"/>
      <c r="L44" s="5"/>
      <c r="M44" s="5"/>
      <c r="N44" s="5"/>
      <c r="Q44" s="32"/>
      <c r="R44" s="32"/>
    </row>
    <row r="45" spans="1:19" x14ac:dyDescent="0.3">
      <c r="B45" s="3"/>
      <c r="C45" s="3"/>
      <c r="K45" s="3"/>
      <c r="L45" s="5"/>
      <c r="M45" s="5"/>
      <c r="N45" s="5"/>
      <c r="Q45" s="32"/>
      <c r="R45" s="32"/>
    </row>
    <row r="46" spans="1:19" x14ac:dyDescent="0.3">
      <c r="B46" s="27"/>
      <c r="C46" s="27"/>
      <c r="D46" s="28"/>
      <c r="E46" s="28"/>
      <c r="F46" s="28"/>
      <c r="G46" s="28"/>
      <c r="H46" s="28"/>
      <c r="I46" s="28"/>
      <c r="J46" s="28"/>
      <c r="K46" s="3"/>
    </row>
    <row r="47" spans="1:19" x14ac:dyDescent="0.3">
      <c r="B47" s="27"/>
      <c r="C47" s="27"/>
      <c r="D47" s="28"/>
      <c r="E47" s="28"/>
      <c r="F47" s="28"/>
      <c r="G47" s="28"/>
      <c r="H47" s="28"/>
      <c r="I47" s="28"/>
      <c r="J47" s="28"/>
      <c r="K47" s="3"/>
    </row>
    <row r="48" spans="1:19" x14ac:dyDescent="0.3">
      <c r="B48" s="27"/>
      <c r="C48" s="27"/>
      <c r="D48" s="28"/>
      <c r="E48" s="28"/>
      <c r="F48" s="34" t="s">
        <v>31</v>
      </c>
      <c r="G48" s="34"/>
      <c r="H48" s="28"/>
      <c r="I48" s="34"/>
      <c r="J48" s="28"/>
      <c r="K48" s="3"/>
    </row>
    <row r="49" spans="2:11" x14ac:dyDescent="0.3">
      <c r="B49" s="27"/>
      <c r="C49" s="27"/>
      <c r="D49" s="28"/>
      <c r="E49" s="28"/>
      <c r="F49" s="34"/>
      <c r="G49" s="34"/>
      <c r="H49" s="28"/>
      <c r="I49" s="34"/>
      <c r="J49" s="28"/>
      <c r="K49" s="3"/>
    </row>
    <row r="50" spans="2:11" x14ac:dyDescent="0.3">
      <c r="B50" s="27" t="s">
        <v>32</v>
      </c>
      <c r="C50" s="27"/>
      <c r="D50" s="28"/>
      <c r="E50" s="28"/>
      <c r="F50" s="28"/>
      <c r="G50" s="28"/>
      <c r="H50" s="28"/>
      <c r="I50" s="35"/>
      <c r="J50" s="28"/>
      <c r="K50" s="3"/>
    </row>
    <row r="51" spans="2:11" x14ac:dyDescent="0.3">
      <c r="B51" s="27"/>
      <c r="C51" s="27"/>
      <c r="D51" s="28" t="s">
        <v>33</v>
      </c>
      <c r="E51" s="28"/>
      <c r="F51" s="28"/>
      <c r="G51" s="28"/>
      <c r="H51" s="28">
        <v>1583.25</v>
      </c>
      <c r="I51" s="35"/>
      <c r="J51" s="28"/>
      <c r="K51" s="3"/>
    </row>
    <row r="52" spans="2:11" x14ac:dyDescent="0.3">
      <c r="B52" s="27"/>
      <c r="C52" s="27"/>
      <c r="D52" s="28" t="s">
        <v>34</v>
      </c>
      <c r="E52" s="28"/>
      <c r="F52" s="28"/>
      <c r="G52" s="28"/>
      <c r="H52" s="28">
        <v>2910</v>
      </c>
      <c r="I52" s="35"/>
      <c r="J52" s="28"/>
      <c r="K52" s="3"/>
    </row>
    <row r="53" spans="2:11" x14ac:dyDescent="0.3">
      <c r="B53" s="27"/>
      <c r="C53" s="27"/>
      <c r="D53" s="28" t="s">
        <v>35</v>
      </c>
      <c r="E53" s="28"/>
      <c r="F53" s="28"/>
      <c r="G53" s="28"/>
      <c r="H53" s="28">
        <v>126.27</v>
      </c>
      <c r="I53" s="35"/>
      <c r="J53" s="28"/>
      <c r="K53" s="3"/>
    </row>
    <row r="54" spans="2:11" x14ac:dyDescent="0.3">
      <c r="B54" s="27"/>
      <c r="C54" s="27"/>
      <c r="D54" s="28" t="s">
        <v>36</v>
      </c>
      <c r="E54" s="28"/>
      <c r="F54" s="28"/>
      <c r="G54" s="28"/>
      <c r="H54" s="28">
        <v>168</v>
      </c>
      <c r="I54" s="35"/>
      <c r="J54" s="28"/>
      <c r="K54" s="3"/>
    </row>
    <row r="55" spans="2:11" x14ac:dyDescent="0.3">
      <c r="B55" s="27"/>
      <c r="C55" s="27"/>
      <c r="D55" s="28"/>
      <c r="E55" s="28"/>
      <c r="F55" s="28" t="s">
        <v>37</v>
      </c>
      <c r="G55" s="28"/>
      <c r="H55" s="28"/>
      <c r="I55" s="28">
        <f>SUM(H51:H54)</f>
        <v>4787.5200000000004</v>
      </c>
      <c r="J55" s="28"/>
      <c r="K55" s="3"/>
    </row>
    <row r="56" spans="2:11" x14ac:dyDescent="0.3">
      <c r="B56" s="27" t="s">
        <v>38</v>
      </c>
      <c r="C56" s="27"/>
      <c r="D56" s="28"/>
      <c r="E56" s="28"/>
      <c r="F56" s="28"/>
      <c r="G56" s="28"/>
      <c r="H56" s="28"/>
      <c r="I56" s="28">
        <f>804+342+429</f>
        <v>1575</v>
      </c>
      <c r="J56" s="28"/>
      <c r="K56" s="3"/>
    </row>
    <row r="57" spans="2:11" x14ac:dyDescent="0.3">
      <c r="B57" s="27" t="s">
        <v>39</v>
      </c>
      <c r="C57" s="27"/>
      <c r="D57" s="28"/>
      <c r="E57" s="28"/>
      <c r="F57" s="28"/>
      <c r="G57" s="28"/>
      <c r="I57" s="28"/>
      <c r="J57" s="28"/>
      <c r="K57" s="3"/>
    </row>
    <row r="58" spans="2:11" x14ac:dyDescent="0.3">
      <c r="B58" s="27" t="s">
        <v>40</v>
      </c>
      <c r="C58" s="27"/>
      <c r="D58" s="28"/>
      <c r="E58" s="28"/>
      <c r="F58" s="28"/>
      <c r="G58" s="28"/>
      <c r="I58" s="3">
        <v>149.62</v>
      </c>
      <c r="J58" s="28"/>
      <c r="K58" s="3"/>
    </row>
    <row r="59" spans="2:11" x14ac:dyDescent="0.3">
      <c r="B59" s="27" t="s">
        <v>41</v>
      </c>
      <c r="C59" s="27"/>
      <c r="D59" s="28"/>
      <c r="E59" s="28"/>
      <c r="F59" s="28"/>
      <c r="G59" s="28"/>
      <c r="I59" s="3">
        <v>2229.58</v>
      </c>
      <c r="J59" s="28"/>
      <c r="K59" s="3"/>
    </row>
    <row r="60" spans="2:11" x14ac:dyDescent="0.3">
      <c r="B60" s="27" t="s">
        <v>42</v>
      </c>
      <c r="C60" s="27"/>
      <c r="D60" s="28"/>
      <c r="E60" s="28"/>
      <c r="F60" s="28"/>
      <c r="G60" s="28"/>
      <c r="I60" s="3">
        <v>515.6</v>
      </c>
      <c r="J60" s="28"/>
      <c r="K60" s="3"/>
    </row>
    <row r="61" spans="2:11" x14ac:dyDescent="0.3">
      <c r="B61" s="28" t="s">
        <v>43</v>
      </c>
      <c r="C61" s="27"/>
      <c r="E61" s="28"/>
      <c r="F61" s="28" t="s">
        <v>44</v>
      </c>
      <c r="G61" s="28"/>
      <c r="H61" s="28"/>
      <c r="I61" s="35">
        <v>84</v>
      </c>
      <c r="J61" s="28"/>
      <c r="K61" s="3"/>
    </row>
    <row r="62" spans="2:11" x14ac:dyDescent="0.3">
      <c r="B62" s="28" t="s">
        <v>45</v>
      </c>
      <c r="C62" s="27"/>
      <c r="E62" s="28"/>
      <c r="F62" s="28"/>
      <c r="G62" s="28"/>
      <c r="H62" s="28"/>
      <c r="I62" s="35"/>
      <c r="J62" s="28"/>
      <c r="K62" s="3"/>
    </row>
    <row r="63" spans="2:11" x14ac:dyDescent="0.3">
      <c r="B63" s="27"/>
      <c r="C63" s="27"/>
      <c r="D63" s="28" t="s">
        <v>46</v>
      </c>
      <c r="E63" s="28"/>
      <c r="F63" s="28"/>
      <c r="G63" s="28"/>
      <c r="H63" s="35">
        <v>25</v>
      </c>
      <c r="J63" s="28"/>
      <c r="K63" s="3"/>
    </row>
    <row r="64" spans="2:11" x14ac:dyDescent="0.3">
      <c r="B64" s="27"/>
      <c r="C64" s="27"/>
      <c r="D64" s="28" t="s">
        <v>47</v>
      </c>
      <c r="E64" s="28"/>
      <c r="F64" s="28"/>
      <c r="G64" s="28"/>
      <c r="H64" s="35">
        <v>500</v>
      </c>
      <c r="J64" s="28"/>
      <c r="K64" s="3"/>
    </row>
    <row r="65" spans="2:12" x14ac:dyDescent="0.3">
      <c r="B65" s="27"/>
      <c r="C65" s="27"/>
      <c r="D65" s="28" t="s">
        <v>48</v>
      </c>
      <c r="E65" s="28"/>
      <c r="F65" s="28"/>
      <c r="G65" s="28"/>
      <c r="H65" s="35">
        <v>50</v>
      </c>
      <c r="J65" s="28"/>
      <c r="K65" s="3"/>
    </row>
    <row r="66" spans="2:12" x14ac:dyDescent="0.3">
      <c r="B66" s="27"/>
      <c r="C66" s="27"/>
      <c r="D66" s="28"/>
      <c r="E66" s="28"/>
      <c r="F66" s="27" t="s">
        <v>49</v>
      </c>
      <c r="G66" s="27"/>
      <c r="H66" s="28"/>
      <c r="I66" s="35">
        <f>SUM(H61:H65)</f>
        <v>575</v>
      </c>
      <c r="J66" s="28"/>
      <c r="K66" s="3"/>
    </row>
    <row r="67" spans="2:12" x14ac:dyDescent="0.3">
      <c r="B67" s="27"/>
      <c r="C67" s="27"/>
      <c r="D67" s="28"/>
      <c r="E67" s="28"/>
      <c r="F67" s="27"/>
      <c r="G67" s="27"/>
      <c r="H67" s="28"/>
      <c r="I67" s="35"/>
      <c r="J67" s="28"/>
      <c r="K67" s="3"/>
    </row>
    <row r="68" spans="2:12" x14ac:dyDescent="0.3">
      <c r="B68" s="27" t="s">
        <v>50</v>
      </c>
      <c r="C68" s="27"/>
      <c r="D68" s="28"/>
      <c r="E68" s="28"/>
      <c r="F68" s="28"/>
      <c r="G68" s="28"/>
      <c r="H68" s="28"/>
      <c r="I68" s="28"/>
      <c r="J68" s="28"/>
      <c r="K68" s="3"/>
    </row>
    <row r="69" spans="2:12" x14ac:dyDescent="0.3">
      <c r="B69" s="27"/>
      <c r="C69" s="27"/>
      <c r="D69" s="28" t="s">
        <v>51</v>
      </c>
      <c r="E69" s="28"/>
      <c r="F69" s="28"/>
      <c r="G69" s="28" t="s">
        <v>52</v>
      </c>
      <c r="H69" s="36">
        <v>600</v>
      </c>
      <c r="I69" s="28"/>
      <c r="J69" s="28"/>
      <c r="K69" s="3"/>
    </row>
    <row r="70" spans="2:12" x14ac:dyDescent="0.3">
      <c r="B70" s="27"/>
      <c r="C70" s="27"/>
      <c r="D70" s="28" t="s">
        <v>53</v>
      </c>
      <c r="E70" s="28"/>
      <c r="F70" s="28" t="s">
        <v>54</v>
      </c>
      <c r="G70" s="28"/>
      <c r="H70" s="36">
        <v>150</v>
      </c>
      <c r="I70" s="28"/>
      <c r="J70" s="28"/>
      <c r="K70" s="3"/>
    </row>
    <row r="71" spans="2:12" x14ac:dyDescent="0.3">
      <c r="B71" s="27"/>
      <c r="C71" s="27"/>
      <c r="D71" s="28" t="s">
        <v>55</v>
      </c>
      <c r="E71" s="28"/>
      <c r="F71" s="28" t="s">
        <v>56</v>
      </c>
      <c r="G71" s="28"/>
      <c r="H71" s="36">
        <v>96.67</v>
      </c>
      <c r="I71" s="28"/>
      <c r="J71" s="28"/>
      <c r="K71" s="3"/>
    </row>
    <row r="72" spans="2:12" x14ac:dyDescent="0.3">
      <c r="B72" s="27"/>
      <c r="C72" s="27"/>
      <c r="D72" s="28" t="s">
        <v>57</v>
      </c>
      <c r="E72" s="28"/>
      <c r="F72" s="28"/>
      <c r="G72" s="28"/>
      <c r="H72" s="36">
        <v>118.87</v>
      </c>
      <c r="I72" s="28"/>
      <c r="J72" s="28"/>
      <c r="K72" s="3"/>
    </row>
    <row r="73" spans="2:12" x14ac:dyDescent="0.3">
      <c r="B73" s="27"/>
      <c r="C73" s="27"/>
      <c r="D73" s="28" t="s">
        <v>58</v>
      </c>
      <c r="E73" s="28"/>
      <c r="F73" s="28"/>
      <c r="G73" s="28"/>
      <c r="H73" s="36">
        <v>1162.5</v>
      </c>
      <c r="I73" s="28"/>
      <c r="J73" s="28"/>
      <c r="K73" s="3"/>
    </row>
    <row r="74" spans="2:12" x14ac:dyDescent="0.3">
      <c r="B74" s="27"/>
      <c r="C74" s="27"/>
      <c r="D74" s="28" t="s">
        <v>59</v>
      </c>
      <c r="E74" s="28"/>
      <c r="F74" s="28"/>
      <c r="G74" s="28"/>
      <c r="H74" s="36">
        <v>13753.5</v>
      </c>
      <c r="I74" s="28"/>
      <c r="J74" s="28"/>
      <c r="K74" s="3"/>
    </row>
    <row r="75" spans="2:12" x14ac:dyDescent="0.3">
      <c r="B75" s="27"/>
      <c r="C75" s="27" t="s">
        <v>60</v>
      </c>
      <c r="D75" s="28"/>
      <c r="E75" s="28"/>
      <c r="F75" s="28"/>
      <c r="G75" s="28"/>
      <c r="H75" s="36"/>
      <c r="I75" s="28"/>
      <c r="J75" s="28"/>
      <c r="K75" s="3"/>
    </row>
    <row r="76" spans="2:12" x14ac:dyDescent="0.3">
      <c r="B76" s="27"/>
      <c r="C76" s="27"/>
      <c r="D76" s="28"/>
      <c r="E76" s="28"/>
      <c r="F76" s="28" t="s">
        <v>61</v>
      </c>
      <c r="G76" s="28"/>
      <c r="H76" s="28"/>
      <c r="I76" s="28">
        <f>SUM(H69:H75)</f>
        <v>15881.54</v>
      </c>
      <c r="J76" s="28"/>
      <c r="K76" s="3"/>
      <c r="L76" s="3" t="s">
        <v>22</v>
      </c>
    </row>
    <row r="77" spans="2:12" x14ac:dyDescent="0.3">
      <c r="B77" s="27"/>
      <c r="C77" s="27"/>
      <c r="D77" s="28"/>
      <c r="E77" s="28"/>
      <c r="F77" s="28"/>
      <c r="G77" s="28"/>
      <c r="H77" s="28"/>
      <c r="I77" s="28"/>
      <c r="J77" s="28"/>
      <c r="K77" s="3"/>
    </row>
    <row r="78" spans="2:12" x14ac:dyDescent="0.3">
      <c r="B78" s="27" t="s">
        <v>62</v>
      </c>
      <c r="C78" s="27"/>
      <c r="D78" s="28" t="s">
        <v>63</v>
      </c>
      <c r="E78" s="28"/>
      <c r="F78" s="28"/>
      <c r="G78" s="28"/>
      <c r="I78" s="28">
        <v>85.8</v>
      </c>
      <c r="J78" s="28"/>
      <c r="K78" s="3" t="s">
        <v>64</v>
      </c>
    </row>
    <row r="79" spans="2:12" x14ac:dyDescent="0.3">
      <c r="B79" s="27" t="s">
        <v>65</v>
      </c>
      <c r="C79" s="27"/>
      <c r="D79" s="28"/>
      <c r="E79" s="28"/>
      <c r="F79" s="28"/>
      <c r="G79" s="28"/>
      <c r="I79" s="28">
        <v>77.98</v>
      </c>
      <c r="J79" s="28"/>
      <c r="K79" s="3"/>
    </row>
    <row r="80" spans="2:12" x14ac:dyDescent="0.3">
      <c r="B80" s="27" t="s">
        <v>66</v>
      </c>
      <c r="C80" s="27"/>
      <c r="D80" s="37"/>
      <c r="E80" s="37"/>
      <c r="F80" s="37"/>
      <c r="G80" s="37"/>
      <c r="H80" s="30"/>
      <c r="I80" s="37">
        <v>152.44</v>
      </c>
      <c r="J80" s="28"/>
      <c r="K80" s="3"/>
    </row>
    <row r="81" spans="2:18" x14ac:dyDescent="0.3">
      <c r="B81" s="3"/>
      <c r="C81" s="38"/>
      <c r="D81" s="28"/>
      <c r="E81" s="28"/>
      <c r="F81" s="38" t="s">
        <v>67</v>
      </c>
      <c r="G81" s="38"/>
      <c r="H81" s="28"/>
      <c r="I81" s="28">
        <f>SUM(I50:I80)</f>
        <v>26114.079999999998</v>
      </c>
      <c r="J81" s="28"/>
      <c r="K81" s="3"/>
    </row>
    <row r="82" spans="2:18" x14ac:dyDescent="0.3">
      <c r="B82" s="27"/>
      <c r="C82" s="27"/>
      <c r="D82" s="28"/>
      <c r="E82" s="28"/>
      <c r="F82" s="28"/>
      <c r="G82" s="28"/>
      <c r="H82" s="28"/>
      <c r="I82" s="28"/>
      <c r="J82" s="28"/>
      <c r="K82" s="3"/>
    </row>
    <row r="83" spans="2:18" x14ac:dyDescent="0.3">
      <c r="K83" s="3"/>
    </row>
    <row r="84" spans="2:18" x14ac:dyDescent="0.3">
      <c r="K84" s="3"/>
    </row>
    <row r="85" spans="2:18" x14ac:dyDescent="0.3">
      <c r="K85" s="3"/>
    </row>
    <row r="86" spans="2:18" x14ac:dyDescent="0.3">
      <c r="K86" s="3"/>
    </row>
    <row r="88" spans="2:18" x14ac:dyDescent="0.3">
      <c r="B88" s="3"/>
      <c r="C88" s="3"/>
      <c r="K88" s="3"/>
      <c r="L88" s="5"/>
      <c r="M88" s="5"/>
      <c r="N88" s="5"/>
      <c r="Q88" s="32"/>
      <c r="R88" s="32"/>
    </row>
    <row r="89" spans="2:18" x14ac:dyDescent="0.3">
      <c r="B89" s="3"/>
      <c r="C89" s="3"/>
      <c r="K89" s="3"/>
      <c r="L89" s="5"/>
      <c r="M89" s="5"/>
      <c r="N89" s="5"/>
      <c r="Q89" s="39"/>
      <c r="R89" s="39"/>
    </row>
    <row r="90" spans="2:18" x14ac:dyDescent="0.3">
      <c r="B90" s="3"/>
      <c r="C90" s="3"/>
      <c r="K90" s="3"/>
    </row>
    <row r="91" spans="2:18" x14ac:dyDescent="0.3">
      <c r="B91" s="3"/>
      <c r="C91" s="3"/>
      <c r="K91" s="3"/>
    </row>
    <row r="92" spans="2:18" x14ac:dyDescent="0.3">
      <c r="B92" s="40"/>
      <c r="C92" s="40"/>
      <c r="F92" s="41"/>
      <c r="G92" s="41"/>
      <c r="H92" s="41"/>
      <c r="J92" s="41"/>
      <c r="K92" s="3"/>
    </row>
    <row r="93" spans="2:18" x14ac:dyDescent="0.3">
      <c r="B93" s="42"/>
      <c r="C93" s="42"/>
      <c r="J93" s="39"/>
      <c r="K93" s="3"/>
    </row>
    <row r="94" spans="2:18" x14ac:dyDescent="0.3">
      <c r="B94" s="42"/>
      <c r="C94" s="42"/>
      <c r="K94" s="3"/>
    </row>
    <row r="95" spans="2:18" x14ac:dyDescent="0.3">
      <c r="B95" s="42"/>
      <c r="C95" s="42"/>
      <c r="K95" s="3"/>
    </row>
    <row r="96" spans="2:18" x14ac:dyDescent="0.3">
      <c r="B96" s="42"/>
      <c r="C96" s="42"/>
      <c r="K96" s="3"/>
    </row>
    <row r="97" spans="1:21" x14ac:dyDescent="0.3">
      <c r="B97" s="42"/>
      <c r="C97" s="42"/>
      <c r="K97" s="3"/>
    </row>
    <row r="98" spans="1:21" x14ac:dyDescent="0.3">
      <c r="B98" s="42"/>
      <c r="C98" s="42"/>
      <c r="K98" s="3"/>
    </row>
    <row r="99" spans="1:21" x14ac:dyDescent="0.3">
      <c r="B99" s="27"/>
      <c r="C99" s="42"/>
      <c r="K99" s="3"/>
    </row>
    <row r="101" spans="1:21" s="44" customFormat="1" x14ac:dyDescent="0.3">
      <c r="A101" s="1" t="s">
        <v>68</v>
      </c>
      <c r="B101" s="43"/>
      <c r="C101" s="43"/>
      <c r="F101" s="44">
        <v>2018</v>
      </c>
      <c r="G101" s="44">
        <v>2017</v>
      </c>
      <c r="H101" s="44">
        <v>2016</v>
      </c>
      <c r="I101" s="44">
        <v>2015</v>
      </c>
      <c r="J101" s="45">
        <v>2014</v>
      </c>
      <c r="K101" s="44">
        <v>2013</v>
      </c>
      <c r="L101" s="44">
        <v>2012</v>
      </c>
      <c r="M101" s="44">
        <v>2011</v>
      </c>
      <c r="N101" s="44">
        <v>2010</v>
      </c>
      <c r="O101" s="44">
        <v>2009</v>
      </c>
      <c r="P101" s="44">
        <v>2008</v>
      </c>
      <c r="Q101" s="44">
        <v>2006</v>
      </c>
      <c r="R101" s="44">
        <v>2005</v>
      </c>
      <c r="S101" s="44">
        <v>2004</v>
      </c>
      <c r="T101" s="44">
        <v>2003</v>
      </c>
      <c r="U101" s="46">
        <v>2002</v>
      </c>
    </row>
    <row r="102" spans="1:21" s="1" customFormat="1" x14ac:dyDescent="0.3">
      <c r="B102" s="47" t="s">
        <v>69</v>
      </c>
      <c r="C102" s="47"/>
      <c r="D102" s="48" t="s">
        <v>70</v>
      </c>
      <c r="E102" s="48"/>
      <c r="F102" s="48" t="s">
        <v>71</v>
      </c>
      <c r="G102" s="48" t="s">
        <v>71</v>
      </c>
      <c r="H102" s="48" t="s">
        <v>71</v>
      </c>
      <c r="I102" s="48" t="s">
        <v>71</v>
      </c>
      <c r="J102" s="49" t="s">
        <v>71</v>
      </c>
      <c r="K102" s="48" t="s">
        <v>71</v>
      </c>
      <c r="L102" s="48" t="s">
        <v>71</v>
      </c>
      <c r="M102" s="48" t="s">
        <v>71</v>
      </c>
      <c r="N102" s="48" t="s">
        <v>71</v>
      </c>
      <c r="O102" s="50" t="s">
        <v>71</v>
      </c>
      <c r="P102" s="50" t="s">
        <v>71</v>
      </c>
      <c r="Q102" s="50" t="s">
        <v>71</v>
      </c>
      <c r="R102" s="50" t="s">
        <v>71</v>
      </c>
      <c r="S102" s="50" t="s">
        <v>71</v>
      </c>
      <c r="T102" s="50" t="s">
        <v>71</v>
      </c>
      <c r="U102" s="50" t="s">
        <v>71</v>
      </c>
    </row>
    <row r="103" spans="1:21" ht="30" x14ac:dyDescent="0.3">
      <c r="A103" s="51" t="s">
        <v>72</v>
      </c>
      <c r="B103" s="3">
        <v>5220</v>
      </c>
      <c r="C103" s="27"/>
      <c r="D103" s="28"/>
      <c r="F103" s="28">
        <f>B103-D103</f>
        <v>5220</v>
      </c>
      <c r="G103" s="28">
        <v>1200</v>
      </c>
      <c r="H103" s="3">
        <v>996</v>
      </c>
      <c r="J103" s="52">
        <v>18544</v>
      </c>
      <c r="K103" s="3">
        <v>15924</v>
      </c>
      <c r="M103" s="28"/>
      <c r="N103" s="28"/>
      <c r="O103" s="28"/>
      <c r="P103" s="41">
        <v>7656</v>
      </c>
      <c r="Q103" s="3">
        <v>7088.25</v>
      </c>
    </row>
    <row r="104" spans="1:21" x14ac:dyDescent="0.3">
      <c r="A104" s="3" t="s">
        <v>73</v>
      </c>
      <c r="B104" s="27">
        <f>8442.67+93+72+45</f>
        <v>8652.67</v>
      </c>
      <c r="C104" s="27"/>
      <c r="D104" s="28">
        <f>814.88+2539.24+85.16+992.7+360+300+1144.75</f>
        <v>6236.73</v>
      </c>
      <c r="E104" s="28"/>
      <c r="F104" s="28">
        <f>B104-D104</f>
        <v>2415.9400000000005</v>
      </c>
      <c r="G104" s="28">
        <v>4239.51</v>
      </c>
      <c r="H104" s="3">
        <v>7104.07</v>
      </c>
      <c r="I104" s="3">
        <v>1938.08</v>
      </c>
      <c r="J104" s="52">
        <v>1723</v>
      </c>
      <c r="K104" s="3">
        <v>4585.3599999999997</v>
      </c>
      <c r="L104" s="3">
        <v>4136.59</v>
      </c>
      <c r="M104" s="28">
        <v>14381.33</v>
      </c>
      <c r="N104" s="28">
        <v>0</v>
      </c>
      <c r="O104" s="28">
        <v>0</v>
      </c>
      <c r="P104" s="41"/>
      <c r="Q104" s="3">
        <v>-147.25</v>
      </c>
      <c r="R104" s="3">
        <v>-5.67</v>
      </c>
      <c r="S104" s="3">
        <v>-70.64</v>
      </c>
      <c r="T104" s="1">
        <v>-31.22</v>
      </c>
      <c r="U104" s="3">
        <v>-11</v>
      </c>
    </row>
    <row r="105" spans="1:21" x14ac:dyDescent="0.3">
      <c r="A105" s="3" t="s">
        <v>74</v>
      </c>
      <c r="B105" s="27">
        <v>7861</v>
      </c>
      <c r="C105" s="27"/>
      <c r="D105" s="36">
        <f>600+88.69+1495.4+480.96+61.5+770.54</f>
        <v>3497.09</v>
      </c>
      <c r="E105" s="36"/>
      <c r="F105" s="28">
        <f>B105-D105</f>
        <v>4363.91</v>
      </c>
      <c r="G105" s="28">
        <v>4774.37</v>
      </c>
      <c r="H105" s="3">
        <v>3461.29</v>
      </c>
      <c r="I105" s="3">
        <v>3494.96</v>
      </c>
      <c r="J105" s="52">
        <v>4647.4799999999996</v>
      </c>
      <c r="K105" s="3">
        <v>4967.5</v>
      </c>
      <c r="L105" s="3">
        <v>3796.09</v>
      </c>
      <c r="M105" s="28">
        <v>3688.27</v>
      </c>
      <c r="N105" s="28">
        <v>2835.12</v>
      </c>
      <c r="O105" s="28">
        <v>2883.5200000000004</v>
      </c>
      <c r="P105" s="41">
        <v>3226.69</v>
      </c>
      <c r="Q105" s="3">
        <v>2157.84</v>
      </c>
      <c r="R105" s="3">
        <v>4565.45</v>
      </c>
      <c r="S105" s="3">
        <v>3486.84</v>
      </c>
      <c r="T105" s="3">
        <v>2257.59</v>
      </c>
      <c r="U105" s="3">
        <v>3276.83</v>
      </c>
    </row>
    <row r="106" spans="1:21" x14ac:dyDescent="0.3">
      <c r="A106" s="3" t="s">
        <v>75</v>
      </c>
      <c r="B106" s="27">
        <v>2875.25</v>
      </c>
      <c r="C106" s="27"/>
      <c r="D106" s="36">
        <v>180</v>
      </c>
      <c r="E106" s="36"/>
      <c r="F106" s="28">
        <f>B106-D106</f>
        <v>2695.25</v>
      </c>
      <c r="G106" s="28">
        <v>2708</v>
      </c>
      <c r="H106" s="3">
        <v>2772.5</v>
      </c>
      <c r="I106" s="3">
        <v>1563.64</v>
      </c>
      <c r="J106" s="52">
        <v>4005.64</v>
      </c>
      <c r="K106" s="3">
        <v>7399.38</v>
      </c>
      <c r="L106" s="3">
        <v>3819.88</v>
      </c>
      <c r="M106" s="28">
        <v>4152.75</v>
      </c>
      <c r="N106" s="28">
        <v>3734.8</v>
      </c>
      <c r="O106" s="28">
        <v>4352</v>
      </c>
      <c r="P106" s="41">
        <v>2665.39</v>
      </c>
      <c r="Q106" s="3">
        <v>3000.5</v>
      </c>
      <c r="R106" s="3">
        <v>3235.61</v>
      </c>
      <c r="S106" s="3">
        <v>1847.1</v>
      </c>
      <c r="T106" s="3">
        <v>2178</v>
      </c>
      <c r="U106" s="3">
        <v>2366.5</v>
      </c>
    </row>
    <row r="107" spans="1:21" x14ac:dyDescent="0.3">
      <c r="A107" s="3" t="s">
        <v>76</v>
      </c>
      <c r="B107" s="27">
        <f>15758.37-240</f>
        <v>15518.37</v>
      </c>
      <c r="C107" s="27"/>
      <c r="D107" s="36">
        <v>2424.11</v>
      </c>
      <c r="E107" s="36"/>
      <c r="F107" s="28">
        <f>B107-D107</f>
        <v>13094.26</v>
      </c>
      <c r="G107" s="28">
        <v>16478.61</v>
      </c>
      <c r="H107" s="3">
        <v>15316.830000000002</v>
      </c>
      <c r="I107" s="3">
        <v>11105.81</v>
      </c>
      <c r="J107" s="52">
        <v>15767.33</v>
      </c>
      <c r="K107" s="3">
        <v>14001.71</v>
      </c>
      <c r="L107" s="3">
        <v>12789.77</v>
      </c>
      <c r="M107" s="28">
        <v>11474.8</v>
      </c>
      <c r="N107" s="28">
        <v>11693</v>
      </c>
      <c r="O107" s="28">
        <v>9808.7999999999993</v>
      </c>
      <c r="P107" s="41">
        <v>9097.14</v>
      </c>
      <c r="Q107" s="3">
        <v>7161.13</v>
      </c>
      <c r="R107" s="3">
        <v>9035.0400000000009</v>
      </c>
      <c r="S107" s="3">
        <v>8540</v>
      </c>
      <c r="T107" s="3">
        <v>8275.4699999999993</v>
      </c>
      <c r="U107" s="3">
        <v>7754.24</v>
      </c>
    </row>
    <row r="108" spans="1:21" x14ac:dyDescent="0.3">
      <c r="A108" s="3" t="s">
        <v>77</v>
      </c>
      <c r="B108" s="27">
        <v>5402</v>
      </c>
      <c r="C108" s="27"/>
      <c r="D108" s="36">
        <f>360+834.4+310.65</f>
        <v>1505.0500000000002</v>
      </c>
      <c r="E108" s="36"/>
      <c r="F108" s="28">
        <f>B108-D108</f>
        <v>3896.95</v>
      </c>
      <c r="G108" s="28">
        <v>3289.52</v>
      </c>
      <c r="H108" s="3">
        <v>3497.71</v>
      </c>
      <c r="I108" s="3">
        <v>3489.1</v>
      </c>
      <c r="J108" s="52">
        <v>3168.2</v>
      </c>
      <c r="K108" s="3">
        <v>2687.92</v>
      </c>
      <c r="L108" s="3">
        <v>2844.07</v>
      </c>
      <c r="M108" s="28">
        <v>2984.64</v>
      </c>
      <c r="N108" s="28">
        <v>3454.1</v>
      </c>
      <c r="O108" s="28">
        <v>3681.11</v>
      </c>
      <c r="P108" s="41">
        <v>3587.59</v>
      </c>
      <c r="Q108" s="3">
        <v>3605.12</v>
      </c>
      <c r="R108" s="3">
        <v>3532.93</v>
      </c>
      <c r="S108" s="3">
        <v>2573.8200000000002</v>
      </c>
      <c r="T108" s="3">
        <v>1709.79</v>
      </c>
      <c r="U108" s="3">
        <v>1996.44</v>
      </c>
    </row>
    <row r="109" spans="1:21" x14ac:dyDescent="0.3">
      <c r="A109" s="3" t="s">
        <v>78</v>
      </c>
      <c r="B109" s="27">
        <f>1810+1310+200+830+1721</f>
        <v>5871</v>
      </c>
      <c r="C109" s="27"/>
      <c r="D109" s="36">
        <f>200+46.84+471.76+1531.17+135.38+150</f>
        <v>2535.15</v>
      </c>
      <c r="E109" s="36"/>
      <c r="F109" s="28">
        <f>B109-D109</f>
        <v>3335.85</v>
      </c>
      <c r="G109" s="28">
        <v>2183.16</v>
      </c>
      <c r="J109" s="52"/>
      <c r="K109" s="3"/>
      <c r="M109" s="28"/>
      <c r="N109" s="28"/>
      <c r="O109" s="28"/>
      <c r="P109" s="41"/>
    </row>
    <row r="110" spans="1:21" x14ac:dyDescent="0.3">
      <c r="A110" s="3" t="s">
        <v>79</v>
      </c>
      <c r="B110" s="27"/>
      <c r="C110" s="27"/>
      <c r="D110" s="36"/>
      <c r="E110" s="36"/>
      <c r="F110" s="28">
        <f>B110-D110</f>
        <v>0</v>
      </c>
      <c r="G110" s="28">
        <v>0</v>
      </c>
      <c r="H110" s="3">
        <v>0</v>
      </c>
      <c r="I110" s="3">
        <v>89.25</v>
      </c>
      <c r="J110" s="52">
        <v>341.25</v>
      </c>
      <c r="K110" s="3">
        <v>423</v>
      </c>
      <c r="L110" s="3">
        <v>437</v>
      </c>
      <c r="M110" s="28">
        <v>426.5</v>
      </c>
      <c r="N110" s="28">
        <v>512.53</v>
      </c>
      <c r="O110" s="28">
        <v>513.52</v>
      </c>
      <c r="P110" s="41">
        <v>525.25</v>
      </c>
      <c r="Q110" s="3">
        <v>590.37</v>
      </c>
      <c r="R110" s="3">
        <v>587.66999999999996</v>
      </c>
      <c r="S110" s="3">
        <v>424.38</v>
      </c>
    </row>
    <row r="111" spans="1:21" x14ac:dyDescent="0.3">
      <c r="A111" s="3" t="s">
        <v>80</v>
      </c>
      <c r="B111" s="27">
        <v>5073</v>
      </c>
      <c r="C111" s="27"/>
      <c r="D111" s="36">
        <v>180</v>
      </c>
      <c r="E111" s="36"/>
      <c r="F111" s="28">
        <f>B111-D111</f>
        <v>4893</v>
      </c>
      <c r="G111" s="28">
        <v>3866.5</v>
      </c>
      <c r="H111" s="3">
        <v>4794.76</v>
      </c>
      <c r="I111" s="3">
        <v>2305.25</v>
      </c>
      <c r="J111" s="52">
        <v>4079.02</v>
      </c>
      <c r="K111" s="3">
        <v>2296.25</v>
      </c>
      <c r="L111" s="3">
        <v>4015.65</v>
      </c>
      <c r="M111" s="28">
        <v>3704.26</v>
      </c>
      <c r="N111" s="28">
        <v>2925.45</v>
      </c>
      <c r="O111" s="28">
        <v>3039.7</v>
      </c>
      <c r="P111" s="41"/>
      <c r="R111" s="3">
        <v>3376.2</v>
      </c>
      <c r="S111" s="3">
        <v>2984.61</v>
      </c>
      <c r="T111" s="3">
        <f>SUM(R111:S111)</f>
        <v>6360.8099999999995</v>
      </c>
      <c r="U111" s="3">
        <v>2158.9499999999998</v>
      </c>
    </row>
    <row r="112" spans="1:21" x14ac:dyDescent="0.3">
      <c r="A112" s="3" t="s">
        <v>81</v>
      </c>
      <c r="B112" s="27"/>
      <c r="C112" s="27"/>
      <c r="D112" s="36"/>
      <c r="E112" s="36"/>
      <c r="F112" s="28">
        <f>B112-D112</f>
        <v>0</v>
      </c>
      <c r="G112" s="28">
        <v>1105.29</v>
      </c>
      <c r="H112" s="3">
        <v>1055.6099999999999</v>
      </c>
      <c r="I112" s="3">
        <v>807.25</v>
      </c>
      <c r="J112" s="52">
        <v>956.25</v>
      </c>
      <c r="K112" s="3">
        <v>1046</v>
      </c>
      <c r="L112" s="3">
        <v>876</v>
      </c>
      <c r="M112" s="28">
        <v>772.95</v>
      </c>
      <c r="N112" s="28">
        <v>792.52</v>
      </c>
      <c r="O112" s="28">
        <v>861.52</v>
      </c>
      <c r="P112" s="41">
        <v>774</v>
      </c>
      <c r="Q112" s="3">
        <v>837.61</v>
      </c>
      <c r="R112" s="3">
        <v>456.17</v>
      </c>
      <c r="S112" s="3">
        <v>388.92</v>
      </c>
      <c r="T112" s="3">
        <v>279.8</v>
      </c>
      <c r="U112" s="3">
        <v>251</v>
      </c>
    </row>
    <row r="113" spans="1:21" x14ac:dyDescent="0.3">
      <c r="A113" s="3" t="s">
        <v>82</v>
      </c>
      <c r="B113" s="27">
        <v>12964.07</v>
      </c>
      <c r="C113" s="27"/>
      <c r="D113" s="36">
        <f>540+1613.31</f>
        <v>2153.31</v>
      </c>
      <c r="E113" s="36"/>
      <c r="F113" s="28">
        <f>B113-D113</f>
        <v>10810.76</v>
      </c>
      <c r="G113" s="28">
        <v>9491.8100000000013</v>
      </c>
      <c r="H113" s="3">
        <v>5511.1900000000005</v>
      </c>
      <c r="I113" s="3">
        <v>6539.25</v>
      </c>
      <c r="J113" s="52">
        <v>8350.81</v>
      </c>
      <c r="K113" s="3">
        <v>2239.29</v>
      </c>
      <c r="L113" s="3">
        <v>7305.67</v>
      </c>
      <c r="M113" s="28">
        <v>6976.49</v>
      </c>
      <c r="N113" s="28">
        <v>6912.79</v>
      </c>
      <c r="O113" s="28">
        <v>4651.59</v>
      </c>
      <c r="P113" s="41">
        <v>4488.41</v>
      </c>
      <c r="Q113" s="3">
        <v>2064.44</v>
      </c>
      <c r="R113" s="3">
        <v>2455.7800000000002</v>
      </c>
      <c r="S113" s="3">
        <v>3444.34</v>
      </c>
      <c r="T113" s="3">
        <v>5639.18</v>
      </c>
      <c r="U113" s="3">
        <v>4988.5600000000004</v>
      </c>
    </row>
    <row r="114" spans="1:21" x14ac:dyDescent="0.3">
      <c r="A114" s="3" t="s">
        <v>83</v>
      </c>
      <c r="B114" s="27">
        <v>270</v>
      </c>
      <c r="C114" s="27"/>
      <c r="D114" s="36">
        <v>120</v>
      </c>
      <c r="E114" s="36"/>
      <c r="F114" s="28">
        <f>B114-D114</f>
        <v>150</v>
      </c>
      <c r="G114" s="28">
        <v>-335.25</v>
      </c>
      <c r="H114" s="3">
        <v>-470.25</v>
      </c>
      <c r="I114" s="3">
        <v>141</v>
      </c>
      <c r="J114" s="52">
        <v>-599.25</v>
      </c>
      <c r="K114" s="3"/>
      <c r="L114" s="3">
        <v>-14.7</v>
      </c>
      <c r="M114" s="28">
        <v>-87.12</v>
      </c>
      <c r="N114" s="28">
        <v>-58.12</v>
      </c>
      <c r="O114" s="28">
        <v>29.830000000000041</v>
      </c>
      <c r="P114" s="41">
        <v>217.45</v>
      </c>
      <c r="Q114" s="3">
        <v>1380.36</v>
      </c>
      <c r="R114" s="3">
        <v>-37.96</v>
      </c>
      <c r="S114" s="3">
        <v>1.17</v>
      </c>
      <c r="T114" s="3">
        <v>63.7</v>
      </c>
      <c r="U114" s="3">
        <v>-483.25</v>
      </c>
    </row>
    <row r="115" spans="1:21" x14ac:dyDescent="0.3">
      <c r="A115" s="3" t="s">
        <v>84</v>
      </c>
      <c r="B115" s="27">
        <f>12672.51-150</f>
        <v>12522.51</v>
      </c>
      <c r="C115" s="27"/>
      <c r="D115" s="36">
        <f>120+1918.78</f>
        <v>2038.78</v>
      </c>
      <c r="E115" s="36"/>
      <c r="F115" s="28">
        <f>B115-D115</f>
        <v>10483.73</v>
      </c>
      <c r="G115" s="28">
        <v>11471.82</v>
      </c>
      <c r="H115" s="3">
        <v>10483.719999999999</v>
      </c>
      <c r="I115" s="3">
        <v>8259.9599999999991</v>
      </c>
      <c r="J115" s="52">
        <v>12149.8</v>
      </c>
      <c r="K115" s="3">
        <v>9374.93</v>
      </c>
      <c r="L115" s="3">
        <v>10252.26</v>
      </c>
      <c r="M115" s="28">
        <v>13398.35</v>
      </c>
      <c r="N115" s="28">
        <v>9942.7199999999993</v>
      </c>
      <c r="O115" s="28">
        <v>9373.880000000001</v>
      </c>
      <c r="P115" s="41">
        <v>8622.2000000000007</v>
      </c>
      <c r="Q115" s="3">
        <v>5903.68</v>
      </c>
      <c r="R115" s="3">
        <v>6896.32</v>
      </c>
      <c r="S115" s="3">
        <v>6142.33</v>
      </c>
      <c r="T115" s="3">
        <v>6412.24</v>
      </c>
      <c r="U115" s="3">
        <v>5845.6</v>
      </c>
    </row>
    <row r="116" spans="1:21" x14ac:dyDescent="0.3">
      <c r="A116" s="3" t="s">
        <v>85</v>
      </c>
      <c r="B116" s="27"/>
      <c r="C116" s="27"/>
      <c r="F116" s="28">
        <f>B116-D116</f>
        <v>0</v>
      </c>
      <c r="G116" s="28">
        <v>0</v>
      </c>
      <c r="H116" s="3">
        <v>-180.6</v>
      </c>
      <c r="J116" s="52">
        <v>1111.1500000000001</v>
      </c>
      <c r="K116" s="3">
        <v>699.42</v>
      </c>
      <c r="L116" s="3">
        <v>592.41999999999996</v>
      </c>
      <c r="M116" s="28">
        <v>722.43</v>
      </c>
      <c r="N116" s="28">
        <v>630.62</v>
      </c>
      <c r="O116" s="28">
        <v>1131.82</v>
      </c>
      <c r="P116" s="41">
        <v>1404.51</v>
      </c>
      <c r="Q116" s="3">
        <v>879.26</v>
      </c>
      <c r="R116" s="3">
        <v>1166.7</v>
      </c>
      <c r="S116" s="3">
        <v>383.46</v>
      </c>
      <c r="T116" s="3">
        <v>982.76</v>
      </c>
      <c r="U116" s="3">
        <v>749.63</v>
      </c>
    </row>
    <row r="117" spans="1:21" x14ac:dyDescent="0.3">
      <c r="A117" s="53" t="s">
        <v>86</v>
      </c>
      <c r="B117" s="27">
        <f>2053.05-25</f>
        <v>2028.0500000000002</v>
      </c>
      <c r="C117" s="27"/>
      <c r="D117" s="36">
        <f>360+65</f>
        <v>425</v>
      </c>
      <c r="E117" s="36"/>
      <c r="F117" s="28">
        <f>B117-D117</f>
        <v>1603.0500000000002</v>
      </c>
      <c r="G117" s="28">
        <v>913.01</v>
      </c>
      <c r="H117" s="3">
        <v>1563.6399999999999</v>
      </c>
      <c r="I117" s="3">
        <v>786.5</v>
      </c>
      <c r="J117" s="52">
        <v>2048.31</v>
      </c>
      <c r="K117" s="3">
        <v>2026.73</v>
      </c>
      <c r="L117" s="3">
        <v>1331.41</v>
      </c>
      <c r="M117" s="28">
        <v>1493.45</v>
      </c>
      <c r="N117" s="28">
        <v>944.2</v>
      </c>
      <c r="O117" s="28">
        <v>1475.1</v>
      </c>
      <c r="P117" s="41">
        <v>1440.11</v>
      </c>
      <c r="Q117" s="3">
        <v>521.37</v>
      </c>
      <c r="R117" s="3">
        <v>1565.52</v>
      </c>
      <c r="S117" s="3">
        <v>1238.1300000000001</v>
      </c>
      <c r="T117" s="3">
        <v>1066.29</v>
      </c>
      <c r="U117" s="3">
        <v>1035.23</v>
      </c>
    </row>
    <row r="118" spans="1:21" x14ac:dyDescent="0.3">
      <c r="A118" s="3" t="s">
        <v>87</v>
      </c>
      <c r="B118" s="27">
        <v>5922.49</v>
      </c>
      <c r="C118" s="27"/>
      <c r="D118" s="36">
        <f>360+109.92+28</f>
        <v>497.92</v>
      </c>
      <c r="E118" s="36"/>
      <c r="F118" s="28">
        <f>B118-D118</f>
        <v>5424.57</v>
      </c>
      <c r="G118" s="28">
        <v>4586.38</v>
      </c>
      <c r="H118" s="3">
        <v>3977.4800000000005</v>
      </c>
      <c r="I118" s="3">
        <v>3178.5</v>
      </c>
      <c r="J118" s="3">
        <v>5386.03</v>
      </c>
      <c r="K118" s="3">
        <v>5572.9</v>
      </c>
      <c r="L118" s="3">
        <v>5248.97</v>
      </c>
      <c r="M118" s="28">
        <v>6690.07</v>
      </c>
      <c r="N118" s="28">
        <v>6216.9</v>
      </c>
      <c r="O118" s="28">
        <v>4648.32</v>
      </c>
      <c r="P118" s="41">
        <v>5181.7700000000004</v>
      </c>
      <c r="Q118" s="3">
        <v>2303.33</v>
      </c>
      <c r="R118" s="3">
        <v>2410.59</v>
      </c>
      <c r="S118" s="3">
        <v>1538.2</v>
      </c>
      <c r="T118" s="3">
        <v>1183.8900000000001</v>
      </c>
      <c r="U118" s="3">
        <v>1376.8</v>
      </c>
    </row>
    <row r="119" spans="1:21" x14ac:dyDescent="0.3">
      <c r="A119" s="3" t="s">
        <v>88</v>
      </c>
      <c r="B119" s="27">
        <v>2455.9499999999998</v>
      </c>
      <c r="C119" s="27"/>
      <c r="D119" s="36">
        <f>85+21</f>
        <v>106</v>
      </c>
      <c r="E119" s="36"/>
      <c r="F119" s="28">
        <f>B119-D119</f>
        <v>2349.9499999999998</v>
      </c>
      <c r="G119" s="28">
        <v>2421.75</v>
      </c>
      <c r="H119" s="3">
        <v>2335.67</v>
      </c>
      <c r="I119" s="3">
        <v>1427</v>
      </c>
      <c r="J119" s="52">
        <v>1391.42</v>
      </c>
      <c r="K119" s="3">
        <v>1511.38</v>
      </c>
      <c r="L119" s="3">
        <v>1319.41</v>
      </c>
      <c r="M119" s="28">
        <v>1268.57</v>
      </c>
      <c r="N119" s="28">
        <v>1418.07</v>
      </c>
      <c r="O119" s="28">
        <v>816.93000000000006</v>
      </c>
      <c r="P119" s="41">
        <v>1380.6</v>
      </c>
      <c r="Q119" s="3">
        <v>594.05999999999995</v>
      </c>
      <c r="R119" s="3">
        <v>764.25</v>
      </c>
      <c r="S119" s="3">
        <v>656</v>
      </c>
      <c r="T119" s="3">
        <v>424.25</v>
      </c>
    </row>
    <row r="120" spans="1:21" x14ac:dyDescent="0.3">
      <c r="A120" s="3" t="s">
        <v>89</v>
      </c>
      <c r="B120" s="27">
        <v>1990.9</v>
      </c>
      <c r="C120" s="27"/>
      <c r="D120" s="36">
        <f>85+10.18</f>
        <v>95.18</v>
      </c>
      <c r="E120" s="36"/>
      <c r="F120" s="28">
        <f>B120-D120</f>
        <v>1895.72</v>
      </c>
      <c r="G120" s="28">
        <v>2166.48</v>
      </c>
      <c r="H120" s="3">
        <v>2071.21</v>
      </c>
      <c r="I120" s="3">
        <v>2115.21</v>
      </c>
      <c r="J120" s="52">
        <v>1771.27</v>
      </c>
      <c r="K120" s="3">
        <v>1894.77</v>
      </c>
      <c r="L120" s="3">
        <v>2221.6999999999998</v>
      </c>
      <c r="M120" s="28">
        <v>981.03</v>
      </c>
      <c r="N120" s="28">
        <v>0</v>
      </c>
      <c r="O120" s="28">
        <v>0</v>
      </c>
      <c r="P120" s="41"/>
      <c r="Q120" s="3">
        <v>1159.71</v>
      </c>
    </row>
    <row r="121" spans="1:21" x14ac:dyDescent="0.3">
      <c r="A121" s="3" t="s">
        <v>90</v>
      </c>
      <c r="B121" s="27"/>
      <c r="C121" s="27"/>
      <c r="D121" s="36"/>
      <c r="E121" s="36"/>
      <c r="F121" s="28">
        <f>B121-D121</f>
        <v>0</v>
      </c>
      <c r="G121" s="28">
        <v>0</v>
      </c>
      <c r="H121" s="3">
        <v>0</v>
      </c>
      <c r="I121" s="3">
        <v>4077</v>
      </c>
      <c r="J121" s="52">
        <v>3761.85</v>
      </c>
      <c r="K121" s="3">
        <v>5327.32</v>
      </c>
      <c r="L121" s="3">
        <v>3823.55</v>
      </c>
      <c r="M121" s="28">
        <v>3354</v>
      </c>
      <c r="N121" s="28">
        <v>2893.58</v>
      </c>
      <c r="O121" s="28">
        <v>3035</v>
      </c>
      <c r="P121" s="41">
        <v>2519.75</v>
      </c>
      <c r="Q121" s="3">
        <v>1507.23</v>
      </c>
      <c r="R121" s="3">
        <v>1715.4</v>
      </c>
      <c r="S121" s="3">
        <v>1668.06</v>
      </c>
      <c r="T121" s="3">
        <v>586.25</v>
      </c>
      <c r="U121" s="3">
        <v>851.32</v>
      </c>
    </row>
    <row r="122" spans="1:21" x14ac:dyDescent="0.3">
      <c r="A122" s="3" t="s">
        <v>91</v>
      </c>
      <c r="B122" s="27">
        <v>664</v>
      </c>
      <c r="C122" s="27"/>
      <c r="D122" s="36">
        <v>85</v>
      </c>
      <c r="E122" s="36"/>
      <c r="F122" s="28">
        <f>B122-D122</f>
        <v>579</v>
      </c>
      <c r="G122" s="28"/>
      <c r="J122" s="52"/>
      <c r="K122" s="3"/>
      <c r="M122" s="28"/>
      <c r="N122" s="28"/>
      <c r="O122" s="28"/>
      <c r="P122" s="41"/>
    </row>
    <row r="123" spans="1:21" x14ac:dyDescent="0.3">
      <c r="A123" s="3" t="s">
        <v>92</v>
      </c>
      <c r="B123" s="27">
        <v>8253.1</v>
      </c>
      <c r="C123" s="27"/>
      <c r="D123" s="36">
        <f>360+89.92</f>
        <v>449.92</v>
      </c>
      <c r="E123" s="36"/>
      <c r="F123" s="28">
        <f>B123-D123</f>
        <v>7803.18</v>
      </c>
      <c r="G123" s="28">
        <v>8785.08</v>
      </c>
      <c r="H123" s="3">
        <v>7292.66</v>
      </c>
      <c r="I123" s="3">
        <v>6056.57</v>
      </c>
      <c r="J123" s="52">
        <v>8360.11</v>
      </c>
      <c r="K123" s="3">
        <v>9516.65</v>
      </c>
      <c r="L123" s="3">
        <v>9370.15</v>
      </c>
      <c r="M123" s="28">
        <v>6350.98</v>
      </c>
      <c r="N123" s="28">
        <v>5585.78</v>
      </c>
      <c r="O123" s="28">
        <v>6768.58</v>
      </c>
      <c r="P123" s="41">
        <v>6630.3</v>
      </c>
      <c r="Q123" s="3">
        <v>8952.14</v>
      </c>
      <c r="R123" s="3">
        <v>7531.25</v>
      </c>
      <c r="S123" s="3">
        <v>6230.85</v>
      </c>
      <c r="T123" s="3">
        <v>5644.51</v>
      </c>
      <c r="U123" s="3">
        <v>5300.98</v>
      </c>
    </row>
    <row r="124" spans="1:21" x14ac:dyDescent="0.3">
      <c r="A124" s="3" t="s">
        <v>93</v>
      </c>
      <c r="B124" s="27">
        <f>1892</f>
        <v>1892</v>
      </c>
      <c r="C124" s="27"/>
      <c r="D124" s="36">
        <f>85+21.35+397.63</f>
        <v>503.98</v>
      </c>
      <c r="E124" s="36"/>
      <c r="F124" s="28">
        <f>B124-D124</f>
        <v>1388.02</v>
      </c>
      <c r="G124" s="28">
        <v>958.98</v>
      </c>
      <c r="H124" s="3">
        <v>1027.8400000000001</v>
      </c>
      <c r="I124" s="3">
        <v>1467.38</v>
      </c>
      <c r="J124" s="3">
        <v>1520.79</v>
      </c>
      <c r="K124" s="3">
        <v>1390.87</v>
      </c>
      <c r="L124" s="3">
        <v>1428.77</v>
      </c>
      <c r="M124" s="28">
        <v>1717.51</v>
      </c>
      <c r="N124" s="28">
        <v>1398.82</v>
      </c>
      <c r="O124" s="28">
        <v>1385.53</v>
      </c>
      <c r="P124" s="41">
        <v>975.45</v>
      </c>
      <c r="Q124" s="3">
        <v>952.8</v>
      </c>
      <c r="R124" s="3">
        <v>842.11</v>
      </c>
      <c r="S124" s="3">
        <v>678.7</v>
      </c>
      <c r="T124" s="3">
        <v>1467.77</v>
      </c>
      <c r="U124" s="3">
        <v>967.2</v>
      </c>
    </row>
    <row r="125" spans="1:21" x14ac:dyDescent="0.3">
      <c r="A125" s="3" t="s">
        <v>94</v>
      </c>
      <c r="B125" s="27">
        <f>2284.7+49.3</f>
        <v>2334</v>
      </c>
      <c r="C125" s="27"/>
      <c r="D125" s="36">
        <f>471.76+84.93+51.23+49.44</f>
        <v>657.36000000000013</v>
      </c>
      <c r="E125" s="36"/>
      <c r="F125" s="28">
        <f>B125-D125</f>
        <v>1676.6399999999999</v>
      </c>
      <c r="G125" s="28"/>
      <c r="K125" s="3"/>
      <c r="M125" s="28"/>
      <c r="N125" s="28"/>
      <c r="O125" s="28"/>
      <c r="P125" s="41"/>
    </row>
    <row r="126" spans="1:21" x14ac:dyDescent="0.3">
      <c r="A126" s="3" t="s">
        <v>95</v>
      </c>
      <c r="B126" s="5">
        <v>1962.17</v>
      </c>
      <c r="C126" s="27"/>
      <c r="D126" s="27">
        <f>200+21+64.06+212</f>
        <v>497.06</v>
      </c>
      <c r="E126" s="36"/>
      <c r="F126" s="28">
        <f>B126-D126</f>
        <v>1465.1100000000001</v>
      </c>
      <c r="G126" s="28">
        <v>637.71</v>
      </c>
      <c r="H126" s="3">
        <v>1323.04</v>
      </c>
      <c r="I126" s="3">
        <v>741.35</v>
      </c>
      <c r="J126" s="52">
        <v>1969.04</v>
      </c>
      <c r="K126" s="3">
        <v>3982.22</v>
      </c>
      <c r="L126" s="3">
        <v>2023.18</v>
      </c>
      <c r="M126" s="28">
        <v>2621.36</v>
      </c>
      <c r="N126" s="28">
        <v>3349.77</v>
      </c>
      <c r="O126" s="28">
        <v>3036.4399999999996</v>
      </c>
      <c r="P126" s="41">
        <v>2814.15</v>
      </c>
      <c r="Q126" s="3">
        <v>3308.11</v>
      </c>
      <c r="R126" s="3">
        <v>3147.05</v>
      </c>
      <c r="S126" s="3">
        <v>2461.5500000000002</v>
      </c>
      <c r="T126" s="3">
        <v>3414.85</v>
      </c>
      <c r="U126" s="3">
        <v>2959.41</v>
      </c>
    </row>
    <row r="127" spans="1:21" x14ac:dyDescent="0.3">
      <c r="A127" s="3" t="s">
        <v>96</v>
      </c>
      <c r="B127" s="36">
        <v>563.5</v>
      </c>
      <c r="C127" s="27"/>
      <c r="D127" s="27">
        <v>85</v>
      </c>
      <c r="E127" s="36"/>
      <c r="F127" s="28">
        <f>B127-D127</f>
        <v>478.5</v>
      </c>
      <c r="G127" s="28">
        <v>721.7</v>
      </c>
      <c r="H127" s="3">
        <v>1097.45</v>
      </c>
      <c r="I127" s="3">
        <v>672.5</v>
      </c>
      <c r="J127" s="52">
        <v>871.45</v>
      </c>
      <c r="K127" s="3">
        <v>578.04</v>
      </c>
      <c r="L127" s="3">
        <v>861.96</v>
      </c>
      <c r="M127" s="28">
        <v>1025.54</v>
      </c>
      <c r="N127" s="28">
        <v>995.18</v>
      </c>
      <c r="O127" s="28">
        <v>0</v>
      </c>
      <c r="P127" s="41">
        <v>791.07</v>
      </c>
      <c r="Q127" s="3">
        <v>219.94</v>
      </c>
      <c r="R127" s="3">
        <v>1020.83</v>
      </c>
      <c r="S127" s="3">
        <v>580.69000000000005</v>
      </c>
      <c r="T127" s="3">
        <v>1488.12</v>
      </c>
      <c r="U127" s="3">
        <v>1158.47</v>
      </c>
    </row>
    <row r="128" spans="1:21" x14ac:dyDescent="0.3">
      <c r="A128" s="3" t="s">
        <v>97</v>
      </c>
      <c r="B128" s="27">
        <v>3412.1</v>
      </c>
      <c r="C128" s="27"/>
      <c r="D128" s="36">
        <f>130+432</f>
        <v>562</v>
      </c>
      <c r="E128" s="36"/>
      <c r="F128" s="28">
        <f>B128-D128</f>
        <v>2850.1</v>
      </c>
      <c r="G128" s="28">
        <v>0</v>
      </c>
      <c r="H128" s="3">
        <v>4541.24</v>
      </c>
      <c r="I128" s="3">
        <v>2745</v>
      </c>
      <c r="J128" s="3">
        <v>3579.7</v>
      </c>
      <c r="K128" s="3">
        <v>2776.29</v>
      </c>
      <c r="L128" s="3">
        <v>3223.79</v>
      </c>
      <c r="M128" s="28">
        <v>2214.36</v>
      </c>
      <c r="N128" s="28">
        <v>1792.26</v>
      </c>
      <c r="O128" s="28">
        <v>1949.21</v>
      </c>
      <c r="P128" s="41">
        <v>1144.1500000000001</v>
      </c>
      <c r="Q128" s="3">
        <v>750.21</v>
      </c>
      <c r="R128" s="3">
        <v>884.82</v>
      </c>
      <c r="S128" s="3">
        <v>767.66</v>
      </c>
      <c r="T128" s="3">
        <v>271.64</v>
      </c>
      <c r="U128" s="3">
        <v>598.6</v>
      </c>
    </row>
    <row r="129" spans="1:21" x14ac:dyDescent="0.3">
      <c r="A129" s="54" t="s">
        <v>98</v>
      </c>
      <c r="B129" s="27">
        <v>4038.39</v>
      </c>
      <c r="C129" s="27"/>
      <c r="D129" s="36">
        <f>170+1050+10.28</f>
        <v>1230.28</v>
      </c>
      <c r="E129" s="36"/>
      <c r="F129" s="28">
        <f>B129-D129</f>
        <v>2808.1099999999997</v>
      </c>
      <c r="G129" s="28">
        <v>3244.3300000000004</v>
      </c>
      <c r="H129" s="3">
        <v>3142.5699999999997</v>
      </c>
      <c r="I129" s="3">
        <v>2128.52</v>
      </c>
      <c r="J129" s="52">
        <v>3507.07</v>
      </c>
      <c r="K129" s="3">
        <v>4546.84</v>
      </c>
      <c r="L129" s="3">
        <v>3513.96</v>
      </c>
      <c r="M129" s="28">
        <v>3575.98</v>
      </c>
      <c r="N129" s="28">
        <v>2782.17</v>
      </c>
      <c r="O129" s="28">
        <v>1468.4799999999998</v>
      </c>
      <c r="P129" s="41">
        <v>1800.47</v>
      </c>
      <c r="Q129" s="3">
        <v>1827.31</v>
      </c>
      <c r="R129" s="3">
        <v>1526.53</v>
      </c>
      <c r="S129" s="3">
        <v>1612.04</v>
      </c>
      <c r="T129" s="3">
        <v>915.06</v>
      </c>
      <c r="U129" s="3">
        <v>1667.02</v>
      </c>
    </row>
    <row r="130" spans="1:21" x14ac:dyDescent="0.3">
      <c r="A130" s="3" t="s">
        <v>99</v>
      </c>
      <c r="B130" s="27">
        <v>2484</v>
      </c>
      <c r="C130" s="27"/>
      <c r="D130" s="36">
        <v>120</v>
      </c>
      <c r="E130" s="36"/>
      <c r="F130" s="28">
        <f>B130-D130</f>
        <v>2364</v>
      </c>
      <c r="G130" s="28">
        <v>2314</v>
      </c>
      <c r="H130" s="3">
        <v>1125</v>
      </c>
      <c r="I130" s="3">
        <v>937</v>
      </c>
      <c r="J130" s="52">
        <v>922</v>
      </c>
      <c r="K130" s="3"/>
      <c r="M130" s="28"/>
      <c r="N130" s="28"/>
      <c r="O130" s="28"/>
      <c r="P130" s="41"/>
    </row>
    <row r="131" spans="1:21" x14ac:dyDescent="0.3">
      <c r="A131" s="3" t="s">
        <v>100</v>
      </c>
      <c r="B131" s="5">
        <f>209.5+480</f>
        <v>689.5</v>
      </c>
      <c r="C131" s="27"/>
      <c r="D131" s="3">
        <v>70</v>
      </c>
      <c r="E131" s="36"/>
      <c r="F131" s="28">
        <f>B131-D131</f>
        <v>619.5</v>
      </c>
      <c r="G131" s="28">
        <v>580.30999999999995</v>
      </c>
      <c r="H131" s="3">
        <v>387.45</v>
      </c>
      <c r="J131" s="52">
        <v>170.45</v>
      </c>
      <c r="K131" s="3">
        <v>565</v>
      </c>
      <c r="M131" s="28"/>
      <c r="N131" s="28"/>
      <c r="O131" s="28"/>
      <c r="P131" s="41"/>
    </row>
    <row r="132" spans="1:21" ht="15.5" thickBot="1" x14ac:dyDescent="0.35">
      <c r="A132" s="3" t="s">
        <v>101</v>
      </c>
      <c r="B132" s="55">
        <v>588.25</v>
      </c>
      <c r="C132" s="55"/>
      <c r="D132" s="56">
        <f>50+4.54+50.4</f>
        <v>104.94</v>
      </c>
      <c r="E132" s="56"/>
      <c r="F132" s="57">
        <f>B132-D132</f>
        <v>483.31</v>
      </c>
      <c r="G132" s="57">
        <v>226.59000000000003</v>
      </c>
      <c r="H132" s="58">
        <v>259.28000000000003</v>
      </c>
      <c r="I132" s="58">
        <v>203.75</v>
      </c>
      <c r="J132" s="59">
        <v>237.35</v>
      </c>
      <c r="K132" s="58">
        <v>351.74</v>
      </c>
      <c r="L132" s="58">
        <v>294.10000000000002</v>
      </c>
      <c r="M132" s="57">
        <v>159.52000000000001</v>
      </c>
      <c r="N132" s="57">
        <v>227.27</v>
      </c>
      <c r="O132" s="57">
        <v>301.77</v>
      </c>
      <c r="P132" s="60">
        <v>262.27</v>
      </c>
      <c r="Q132" s="58">
        <v>240.29</v>
      </c>
      <c r="R132" s="58">
        <v>374</v>
      </c>
      <c r="S132" s="58">
        <v>334.59</v>
      </c>
      <c r="T132" s="58">
        <v>274.45999999999998</v>
      </c>
      <c r="U132" s="58">
        <v>412.46</v>
      </c>
    </row>
    <row r="133" spans="1:21" ht="15.5" thickTop="1" x14ac:dyDescent="0.3">
      <c r="A133" s="3" t="s">
        <v>102</v>
      </c>
      <c r="B133" s="27">
        <f>SUM(B103:B132)</f>
        <v>121508.27</v>
      </c>
      <c r="C133" s="27"/>
      <c r="D133" s="28">
        <f>SUM(D103:D132)</f>
        <v>26359.859999999993</v>
      </c>
      <c r="E133" s="28"/>
      <c r="F133" s="28">
        <f>SUM(F103:F132)</f>
        <v>95148.410000000033</v>
      </c>
      <c r="G133" s="28">
        <v>88029.66</v>
      </c>
      <c r="H133" s="3">
        <v>83491.360000000001</v>
      </c>
      <c r="I133" s="3">
        <v>66270.070000000007</v>
      </c>
      <c r="J133" s="52">
        <v>110241.52</v>
      </c>
      <c r="K133" s="3">
        <v>111606.48</v>
      </c>
      <c r="L133" s="28">
        <f>SUM(L103:L132)</f>
        <v>85511.650000000023</v>
      </c>
      <c r="M133" s="28">
        <f>SUM(M103:M132)</f>
        <v>94048.019999999975</v>
      </c>
      <c r="N133" s="28">
        <v>92419.08</v>
      </c>
      <c r="O133" s="28">
        <v>71838.73</v>
      </c>
      <c r="P133" s="3">
        <f>SUM(P103:P132)</f>
        <v>67204.720000000016</v>
      </c>
      <c r="Q133" s="3">
        <f>SUM(Q103:Q132)</f>
        <v>56857.810000000012</v>
      </c>
      <c r="R133" s="3">
        <f>SUM(R103:R132)</f>
        <v>57046.59</v>
      </c>
      <c r="S133" s="3">
        <f>SUM(S104:S132)</f>
        <v>47912.799999999996</v>
      </c>
      <c r="T133" s="3">
        <f>SUM(T104:T132)</f>
        <v>50865.21</v>
      </c>
      <c r="U133" s="3">
        <f>SUM(U104:U132)</f>
        <v>45220.99</v>
      </c>
    </row>
    <row r="134" spans="1:21" x14ac:dyDescent="0.3">
      <c r="B134" s="27"/>
      <c r="C134" s="27"/>
      <c r="D134" s="28"/>
      <c r="E134" s="28"/>
      <c r="F134" s="28"/>
      <c r="G134" s="28"/>
      <c r="K134" s="3"/>
      <c r="M134" s="28"/>
      <c r="N134" s="28"/>
      <c r="O134" s="28"/>
      <c r="P134" s="41"/>
    </row>
    <row r="135" spans="1:21" x14ac:dyDescent="0.3">
      <c r="B135" s="27"/>
      <c r="C135" s="27"/>
      <c r="D135" s="28"/>
      <c r="E135" s="28"/>
      <c r="F135" s="28"/>
      <c r="G135" s="28"/>
      <c r="K135" s="3"/>
      <c r="M135" s="28"/>
      <c r="N135" s="28"/>
      <c r="O135" s="28"/>
      <c r="P135" s="41"/>
    </row>
    <row r="136" spans="1:21" x14ac:dyDescent="0.3">
      <c r="B136" s="27"/>
      <c r="C136" s="27"/>
      <c r="D136" s="28"/>
      <c r="E136" s="28"/>
      <c r="F136" s="28"/>
      <c r="G136" s="28"/>
      <c r="K136" s="3"/>
      <c r="M136" s="28"/>
      <c r="N136" s="28"/>
      <c r="O136" s="28"/>
      <c r="P136" s="41"/>
      <c r="U136" s="1"/>
    </row>
    <row r="137" spans="1:21" x14ac:dyDescent="0.3">
      <c r="B137" s="27"/>
      <c r="C137" s="27"/>
      <c r="D137" s="28"/>
      <c r="E137" s="28"/>
      <c r="F137" s="28"/>
      <c r="G137" s="28"/>
      <c r="K137" s="3"/>
      <c r="M137" s="28"/>
      <c r="N137" s="28"/>
      <c r="O137" s="28"/>
      <c r="P137" s="41"/>
      <c r="U137" s="1"/>
    </row>
    <row r="138" spans="1:21" x14ac:dyDescent="0.3">
      <c r="B138" s="27"/>
      <c r="C138" s="27"/>
      <c r="D138" s="28"/>
      <c r="E138" s="28"/>
      <c r="F138" s="28"/>
      <c r="G138" s="28"/>
      <c r="K138" s="3"/>
      <c r="M138" s="28"/>
      <c r="N138" s="28"/>
      <c r="O138" s="28"/>
      <c r="P138" s="41"/>
      <c r="U138" s="1"/>
    </row>
    <row r="139" spans="1:21" x14ac:dyDescent="0.3">
      <c r="B139" s="27"/>
      <c r="C139" s="27"/>
      <c r="D139" s="28"/>
      <c r="E139" s="28"/>
      <c r="F139" s="28"/>
      <c r="G139" s="28"/>
      <c r="K139" s="3"/>
      <c r="M139" s="28"/>
      <c r="N139" s="28"/>
      <c r="O139" s="28"/>
      <c r="P139" s="41"/>
      <c r="U139" s="1"/>
    </row>
    <row r="140" spans="1:21" x14ac:dyDescent="0.3">
      <c r="B140" s="27"/>
      <c r="C140" s="27"/>
      <c r="D140" s="28"/>
      <c r="E140" s="28"/>
      <c r="F140" s="28"/>
      <c r="G140" s="28"/>
      <c r="K140" s="3"/>
      <c r="M140" s="28"/>
      <c r="N140" s="28"/>
      <c r="O140" s="28"/>
      <c r="P140" s="41"/>
      <c r="U140" s="1"/>
    </row>
    <row r="141" spans="1:21" x14ac:dyDescent="0.3">
      <c r="B141" s="27"/>
      <c r="C141" s="27"/>
      <c r="D141" s="28"/>
      <c r="E141" s="28"/>
      <c r="F141" s="28"/>
      <c r="G141" s="28"/>
      <c r="K141" s="3"/>
      <c r="M141" s="28"/>
      <c r="N141" s="28"/>
      <c r="O141" s="28"/>
      <c r="P141" s="41"/>
      <c r="U141" s="1"/>
    </row>
    <row r="142" spans="1:21" x14ac:dyDescent="0.3">
      <c r="B142" s="27"/>
      <c r="C142" s="27"/>
      <c r="D142" s="28"/>
      <c r="E142" s="28"/>
      <c r="F142" s="28"/>
      <c r="G142" s="28"/>
      <c r="K142" s="3"/>
      <c r="M142" s="28"/>
      <c r="N142" s="28"/>
      <c r="O142" s="28"/>
      <c r="P142" s="41"/>
      <c r="U142" s="1"/>
    </row>
    <row r="143" spans="1:21" x14ac:dyDescent="0.3">
      <c r="B143" s="27"/>
      <c r="C143" s="27"/>
      <c r="F143" s="28"/>
      <c r="G143" s="28"/>
      <c r="K143" s="3"/>
      <c r="M143" s="28"/>
      <c r="N143" s="28"/>
      <c r="O143" s="28"/>
      <c r="P143" s="41"/>
      <c r="U143" s="1"/>
    </row>
    <row r="144" spans="1:21" x14ac:dyDescent="0.3">
      <c r="C144" s="27"/>
      <c r="D144" s="28"/>
      <c r="E144" s="28"/>
      <c r="F144" s="28"/>
      <c r="G144" s="28"/>
      <c r="K144" s="3"/>
      <c r="M144" s="28"/>
      <c r="N144" s="28"/>
      <c r="O144" s="28"/>
      <c r="P144" s="41"/>
      <c r="U144" s="1"/>
    </row>
    <row r="145" spans="1:21" ht="16.149999999999999" customHeight="1" x14ac:dyDescent="0.3">
      <c r="C145" s="27"/>
      <c r="D145" s="28"/>
      <c r="E145" s="28"/>
      <c r="F145" s="28"/>
      <c r="G145" s="28"/>
      <c r="K145" s="3"/>
      <c r="M145" s="28"/>
      <c r="N145" s="28"/>
      <c r="O145" s="28"/>
      <c r="P145" s="41"/>
      <c r="U145" s="1"/>
    </row>
    <row r="146" spans="1:21" s="61" customFormat="1" ht="19.149999999999999" customHeight="1" x14ac:dyDescent="0.3">
      <c r="A146" s="44" t="s">
        <v>103</v>
      </c>
      <c r="B146" s="27"/>
      <c r="C146" s="27"/>
      <c r="D146" s="34"/>
      <c r="E146" s="34"/>
      <c r="F146" s="44">
        <v>2018</v>
      </c>
      <c r="G146" s="44">
        <v>2017</v>
      </c>
      <c r="H146" s="44">
        <v>2016</v>
      </c>
      <c r="I146" s="44">
        <v>2015</v>
      </c>
      <c r="J146" s="44">
        <v>2014</v>
      </c>
      <c r="K146" s="44">
        <v>2013</v>
      </c>
      <c r="L146" s="44">
        <v>2012</v>
      </c>
      <c r="M146" s="44">
        <v>2011</v>
      </c>
      <c r="N146" s="61">
        <v>2010</v>
      </c>
      <c r="O146" s="44">
        <v>2009</v>
      </c>
      <c r="P146" s="44">
        <v>2008</v>
      </c>
      <c r="Q146" s="44">
        <v>2006</v>
      </c>
      <c r="R146" s="44">
        <v>2005</v>
      </c>
      <c r="S146" s="44">
        <v>2004</v>
      </c>
      <c r="T146" s="44">
        <v>2003</v>
      </c>
      <c r="U146" s="44">
        <v>2002</v>
      </c>
    </row>
    <row r="147" spans="1:21" x14ac:dyDescent="0.3">
      <c r="B147" s="62" t="s">
        <v>69</v>
      </c>
      <c r="C147" s="62"/>
      <c r="D147" s="63" t="s">
        <v>70</v>
      </c>
      <c r="E147" s="63"/>
      <c r="F147" s="63" t="s">
        <v>71</v>
      </c>
      <c r="G147" s="64" t="s">
        <v>71</v>
      </c>
      <c r="H147" s="48" t="s">
        <v>71</v>
      </c>
      <c r="I147" s="63" t="s">
        <v>71</v>
      </c>
      <c r="J147" s="63" t="s">
        <v>71</v>
      </c>
      <c r="K147" s="63" t="s">
        <v>71</v>
      </c>
      <c r="L147" s="63" t="s">
        <v>71</v>
      </c>
      <c r="M147" s="63" t="s">
        <v>71</v>
      </c>
      <c r="N147" s="37" t="s">
        <v>104</v>
      </c>
      <c r="O147" s="64" t="s">
        <v>71</v>
      </c>
      <c r="P147" s="50" t="s">
        <v>71</v>
      </c>
      <c r="Q147" s="50" t="s">
        <v>71</v>
      </c>
      <c r="R147" s="50" t="s">
        <v>71</v>
      </c>
      <c r="S147" s="50" t="s">
        <v>71</v>
      </c>
      <c r="T147" s="50" t="s">
        <v>71</v>
      </c>
      <c r="U147" s="50" t="s">
        <v>71</v>
      </c>
    </row>
    <row r="148" spans="1:21" x14ac:dyDescent="0.3">
      <c r="A148" s="3" t="s">
        <v>105</v>
      </c>
      <c r="B148" s="65">
        <v>1378.49</v>
      </c>
      <c r="C148" s="27"/>
      <c r="F148" s="28">
        <f>B148-D148</f>
        <v>1378.49</v>
      </c>
      <c r="G148" s="28"/>
      <c r="J148" s="52"/>
      <c r="K148" s="3"/>
      <c r="M148" s="28"/>
      <c r="N148" s="28"/>
      <c r="O148" s="28"/>
      <c r="P148" s="41"/>
    </row>
    <row r="149" spans="1:21" x14ac:dyDescent="0.3">
      <c r="A149" s="3" t="s">
        <v>106</v>
      </c>
      <c r="B149" s="27">
        <f>1487+560+472+1004.01</f>
        <v>3523.01</v>
      </c>
      <c r="C149" s="27"/>
      <c r="D149" s="36">
        <v>196</v>
      </c>
      <c r="E149" s="36"/>
      <c r="F149" s="28">
        <f>B149-D149</f>
        <v>3327.01</v>
      </c>
      <c r="G149" s="28">
        <v>3617.31</v>
      </c>
      <c r="H149" s="3">
        <v>3165.76</v>
      </c>
      <c r="I149" s="3">
        <v>2482.5</v>
      </c>
      <c r="J149" s="52">
        <v>2882.25</v>
      </c>
      <c r="K149" s="3">
        <v>3237.5</v>
      </c>
      <c r="L149" s="3">
        <v>2506.5</v>
      </c>
      <c r="M149" s="28">
        <v>2271</v>
      </c>
      <c r="N149" s="28">
        <v>1951.36</v>
      </c>
      <c r="O149" s="28">
        <v>2462.5</v>
      </c>
      <c r="P149" s="41">
        <v>2140</v>
      </c>
      <c r="Q149" s="3">
        <v>3565.76</v>
      </c>
      <c r="R149" s="3">
        <v>3068.85</v>
      </c>
      <c r="S149" s="3">
        <v>3531.25</v>
      </c>
    </row>
    <row r="150" spans="1:21" x14ac:dyDescent="0.3">
      <c r="A150" s="3" t="s">
        <v>107</v>
      </c>
      <c r="B150" s="27">
        <v>1057.5</v>
      </c>
      <c r="C150" s="27"/>
      <c r="D150" s="36">
        <v>70</v>
      </c>
      <c r="E150" s="36"/>
      <c r="F150" s="28">
        <f>B150-D150</f>
        <v>987.5</v>
      </c>
      <c r="G150" s="28">
        <v>873.4</v>
      </c>
      <c r="H150" s="3">
        <v>0</v>
      </c>
      <c r="I150" s="3">
        <v>2706.1</v>
      </c>
      <c r="J150" s="52">
        <v>3033.07</v>
      </c>
      <c r="K150" s="3">
        <v>3087.56</v>
      </c>
      <c r="L150" s="3">
        <v>2252.48</v>
      </c>
      <c r="M150" s="28">
        <v>2101.3200000000002</v>
      </c>
      <c r="N150" s="28">
        <v>1541.98</v>
      </c>
      <c r="O150" s="28">
        <v>0</v>
      </c>
      <c r="P150" s="41">
        <v>1646.57</v>
      </c>
      <c r="Q150" s="3">
        <v>724.95</v>
      </c>
      <c r="R150" s="3">
        <v>1249.4000000000001</v>
      </c>
      <c r="S150" s="3">
        <v>526.70000000000005</v>
      </c>
    </row>
    <row r="151" spans="1:21" x14ac:dyDescent="0.3">
      <c r="A151" s="3" t="s">
        <v>108</v>
      </c>
      <c r="B151" s="27">
        <v>113339.81</v>
      </c>
      <c r="C151" s="27"/>
      <c r="D151" s="36">
        <f>6000+85</f>
        <v>6085</v>
      </c>
      <c r="E151" s="36"/>
      <c r="F151" s="28">
        <f>B151-D151</f>
        <v>107254.81</v>
      </c>
      <c r="G151" s="28">
        <v>114648.26999999999</v>
      </c>
      <c r="H151" s="3">
        <v>120601.03</v>
      </c>
      <c r="I151" s="3">
        <v>108113.87</v>
      </c>
      <c r="J151" s="52">
        <v>120958.2</v>
      </c>
      <c r="K151" s="3">
        <v>107967.67</v>
      </c>
      <c r="L151" s="3">
        <v>108941.64</v>
      </c>
      <c r="M151" s="28">
        <v>93880.9</v>
      </c>
      <c r="N151" s="28">
        <v>105863.52</v>
      </c>
      <c r="O151" s="28">
        <v>104599.78</v>
      </c>
      <c r="P151" s="41">
        <v>125741.24</v>
      </c>
      <c r="Q151" s="3">
        <v>132115.85999999999</v>
      </c>
      <c r="R151" s="3">
        <v>116965.54</v>
      </c>
      <c r="S151" s="3">
        <v>104652.43</v>
      </c>
      <c r="T151" s="3">
        <v>96748.9</v>
      </c>
      <c r="U151" s="3">
        <v>101982.35</v>
      </c>
    </row>
    <row r="152" spans="1:21" x14ac:dyDescent="0.3">
      <c r="A152" s="3" t="s">
        <v>109</v>
      </c>
      <c r="B152" s="27">
        <v>3207</v>
      </c>
      <c r="C152" s="27"/>
      <c r="D152" s="36">
        <v>196</v>
      </c>
      <c r="E152" s="36"/>
      <c r="F152" s="28">
        <f>B152-D152</f>
        <v>3011</v>
      </c>
      <c r="G152" s="28">
        <v>2358.7800000000002</v>
      </c>
      <c r="H152" s="3">
        <v>1684.5</v>
      </c>
      <c r="I152" s="3">
        <v>1171</v>
      </c>
      <c r="J152" s="52">
        <v>1539.8</v>
      </c>
      <c r="K152" s="3">
        <v>1664.77</v>
      </c>
      <c r="L152" s="3">
        <v>1461.7</v>
      </c>
      <c r="M152" s="28">
        <v>1267.9000000000001</v>
      </c>
      <c r="N152" s="28">
        <v>1019.75</v>
      </c>
      <c r="O152" s="28">
        <v>1292.75</v>
      </c>
      <c r="P152" s="41">
        <v>1922.45</v>
      </c>
      <c r="Q152" s="3">
        <v>1142.97</v>
      </c>
      <c r="R152" s="3" t="s">
        <v>110</v>
      </c>
      <c r="S152" s="3">
        <v>1649.25</v>
      </c>
      <c r="T152" s="3">
        <v>1292.44</v>
      </c>
      <c r="U152" s="3">
        <v>1209.1400000000001</v>
      </c>
    </row>
    <row r="153" spans="1:21" ht="30" x14ac:dyDescent="0.3">
      <c r="A153" s="51" t="s">
        <v>111</v>
      </c>
      <c r="B153" s="27">
        <v>5300</v>
      </c>
      <c r="C153" s="27"/>
      <c r="D153" s="36"/>
      <c r="E153" s="36"/>
      <c r="F153" s="28">
        <f>B153-D153</f>
        <v>5300</v>
      </c>
      <c r="G153" s="28">
        <v>10650</v>
      </c>
      <c r="H153" s="3">
        <v>13200</v>
      </c>
      <c r="I153" s="3">
        <v>8175</v>
      </c>
      <c r="J153" s="52"/>
      <c r="K153" s="3"/>
      <c r="M153" s="28"/>
      <c r="N153" s="28"/>
      <c r="O153" s="28"/>
      <c r="P153" s="41"/>
    </row>
    <row r="154" spans="1:21" x14ac:dyDescent="0.3">
      <c r="A154" s="3" t="s">
        <v>112</v>
      </c>
      <c r="B154" s="27">
        <v>464.31</v>
      </c>
      <c r="C154" s="27"/>
      <c r="D154" s="36"/>
      <c r="E154" s="36"/>
      <c r="F154" s="28">
        <f>B154-D154</f>
        <v>464.31</v>
      </c>
      <c r="G154" s="28">
        <v>0</v>
      </c>
      <c r="H154" s="3">
        <v>355</v>
      </c>
      <c r="I154" s="3">
        <v>250</v>
      </c>
      <c r="K154" s="3"/>
      <c r="M154" s="28"/>
      <c r="N154" s="28">
        <v>450</v>
      </c>
      <c r="O154" s="28">
        <v>0</v>
      </c>
      <c r="P154" s="41">
        <v>-12342.77</v>
      </c>
      <c r="Q154" s="3">
        <v>0</v>
      </c>
      <c r="R154" s="3">
        <v>2309.08</v>
      </c>
      <c r="T154" s="3">
        <v>236</v>
      </c>
    </row>
    <row r="155" spans="1:21" ht="15.5" thickBot="1" x14ac:dyDescent="0.35">
      <c r="A155" s="3" t="s">
        <v>113</v>
      </c>
      <c r="B155" s="55"/>
      <c r="C155" s="55"/>
      <c r="D155" s="56"/>
      <c r="E155" s="56"/>
      <c r="F155" s="57">
        <f>B155-D155</f>
        <v>0</v>
      </c>
      <c r="G155" s="57">
        <v>0</v>
      </c>
      <c r="H155" s="58">
        <v>3650</v>
      </c>
      <c r="I155" s="58"/>
      <c r="J155" s="59"/>
      <c r="K155" s="58">
        <v>972.12</v>
      </c>
      <c r="L155" s="58">
        <v>3869.35</v>
      </c>
      <c r="M155" s="57">
        <v>6007</v>
      </c>
      <c r="N155" s="57">
        <v>5281</v>
      </c>
      <c r="O155" s="57">
        <v>6682</v>
      </c>
      <c r="P155" s="60">
        <v>5095</v>
      </c>
      <c r="Q155" s="58">
        <v>4801</v>
      </c>
      <c r="R155" s="58">
        <v>4799</v>
      </c>
      <c r="S155" s="58">
        <v>3913</v>
      </c>
      <c r="T155" s="58">
        <v>4679</v>
      </c>
      <c r="U155" s="58">
        <v>3856</v>
      </c>
    </row>
    <row r="156" spans="1:21" ht="16.5" customHeight="1" thickTop="1" x14ac:dyDescent="0.3">
      <c r="A156" s="1" t="s">
        <v>30</v>
      </c>
      <c r="B156" s="27">
        <f>SUM(B148:B155)</f>
        <v>128270.12</v>
      </c>
      <c r="C156" s="27"/>
      <c r="D156" s="27">
        <f>SUM(D148:D155)</f>
        <v>6547</v>
      </c>
      <c r="E156" s="28"/>
      <c r="F156" s="28">
        <f>SUM(F148:F155)</f>
        <v>121723.12</v>
      </c>
      <c r="G156" s="28">
        <v>139861.08999999997</v>
      </c>
      <c r="H156" s="3">
        <v>155013.29</v>
      </c>
      <c r="I156" s="3">
        <v>132785.07999999999</v>
      </c>
      <c r="J156" s="52">
        <v>133369.64000000001</v>
      </c>
      <c r="K156" s="3">
        <v>118322.77</v>
      </c>
      <c r="L156" s="28">
        <f>SUM(L148:L155)</f>
        <v>119031.67</v>
      </c>
      <c r="M156" s="28">
        <f>SUM(M148:M155)</f>
        <v>105528.12</v>
      </c>
      <c r="N156" s="28">
        <v>127058.07</v>
      </c>
      <c r="O156" s="28">
        <v>126325.69</v>
      </c>
      <c r="P156" s="3">
        <f t="shared" ref="P156:U156" si="0">SUM(P148:P155)</f>
        <v>124202.49</v>
      </c>
      <c r="Q156" s="3">
        <f t="shared" si="0"/>
        <v>142350.53999999998</v>
      </c>
      <c r="R156" s="3">
        <f t="shared" si="0"/>
        <v>128391.87</v>
      </c>
      <c r="S156" s="3">
        <f t="shared" si="0"/>
        <v>114272.62999999999</v>
      </c>
      <c r="T156" s="3">
        <f t="shared" si="0"/>
        <v>102956.34</v>
      </c>
      <c r="U156" s="3">
        <f t="shared" si="0"/>
        <v>107047.49</v>
      </c>
    </row>
    <row r="157" spans="1:21" x14ac:dyDescent="0.3">
      <c r="B157" s="27"/>
      <c r="C157" s="27"/>
      <c r="D157" s="28"/>
      <c r="E157" s="28"/>
      <c r="F157" s="28"/>
      <c r="G157" s="28"/>
      <c r="K157" s="3"/>
      <c r="M157" s="28"/>
      <c r="N157" s="28"/>
      <c r="O157" s="28"/>
      <c r="P157" s="41"/>
    </row>
    <row r="158" spans="1:21" s="61" customFormat="1" ht="19.149999999999999" customHeight="1" x14ac:dyDescent="0.3">
      <c r="A158" s="44" t="s">
        <v>114</v>
      </c>
      <c r="B158" s="27"/>
      <c r="C158" s="27"/>
      <c r="D158" s="34"/>
      <c r="E158" s="34"/>
      <c r="F158" s="44">
        <v>2018</v>
      </c>
      <c r="G158" s="44">
        <v>2017</v>
      </c>
      <c r="H158" s="44">
        <v>2016</v>
      </c>
      <c r="I158" s="44">
        <v>2015</v>
      </c>
      <c r="J158" s="44">
        <v>2014</v>
      </c>
      <c r="K158" s="44">
        <v>2013</v>
      </c>
      <c r="L158" s="44">
        <v>2012</v>
      </c>
      <c r="M158" s="44">
        <v>2011</v>
      </c>
      <c r="N158" s="61">
        <v>2010</v>
      </c>
      <c r="O158" s="44">
        <v>2009</v>
      </c>
      <c r="P158" s="44">
        <v>2008</v>
      </c>
      <c r="Q158" s="44">
        <v>2006</v>
      </c>
      <c r="R158" s="44">
        <v>2005</v>
      </c>
      <c r="S158" s="44">
        <v>2004</v>
      </c>
      <c r="T158" s="44">
        <v>2003</v>
      </c>
      <c r="U158" s="44">
        <v>2002</v>
      </c>
    </row>
    <row r="159" spans="1:21" x14ac:dyDescent="0.3">
      <c r="B159" s="62" t="s">
        <v>69</v>
      </c>
      <c r="C159" s="62"/>
      <c r="D159" s="63"/>
      <c r="E159" s="63"/>
      <c r="F159" s="63" t="s">
        <v>71</v>
      </c>
      <c r="G159" s="64" t="s">
        <v>71</v>
      </c>
      <c r="H159" s="48" t="s">
        <v>71</v>
      </c>
      <c r="I159" s="63" t="s">
        <v>71</v>
      </c>
      <c r="J159" s="63" t="s">
        <v>71</v>
      </c>
      <c r="K159" s="63" t="s">
        <v>71</v>
      </c>
      <c r="L159" s="63" t="s">
        <v>71</v>
      </c>
      <c r="M159" s="63" t="s">
        <v>71</v>
      </c>
      <c r="N159" s="37" t="s">
        <v>104</v>
      </c>
      <c r="O159" s="64" t="s">
        <v>71</v>
      </c>
      <c r="P159" s="50" t="s">
        <v>71</v>
      </c>
      <c r="Q159" s="50" t="s">
        <v>71</v>
      </c>
      <c r="R159" s="50" t="s">
        <v>71</v>
      </c>
      <c r="S159" s="50" t="s">
        <v>71</v>
      </c>
      <c r="T159" s="50" t="s">
        <v>71</v>
      </c>
      <c r="U159" s="50" t="s">
        <v>71</v>
      </c>
    </row>
    <row r="160" spans="1:21" x14ac:dyDescent="0.3">
      <c r="A160" s="3" t="s">
        <v>115</v>
      </c>
      <c r="B160" s="27"/>
      <c r="C160" s="27"/>
      <c r="F160" s="28">
        <f>B160-D160</f>
        <v>0</v>
      </c>
      <c r="G160" s="28">
        <v>0</v>
      </c>
      <c r="H160" s="3">
        <v>0</v>
      </c>
      <c r="J160" s="52">
        <v>1536.5</v>
      </c>
      <c r="K160" s="3">
        <v>276.33</v>
      </c>
      <c r="L160" s="3">
        <v>4024.53</v>
      </c>
      <c r="M160" s="28"/>
      <c r="N160" s="28">
        <v>171.95</v>
      </c>
      <c r="O160" s="28"/>
      <c r="P160" s="41">
        <v>2947.55</v>
      </c>
      <c r="Q160" s="3">
        <v>2032.45</v>
      </c>
      <c r="R160" s="3">
        <v>4225.72</v>
      </c>
      <c r="S160" s="3">
        <v>4178</v>
      </c>
      <c r="T160" s="3">
        <v>3002.76</v>
      </c>
      <c r="U160" s="3">
        <v>2659.89</v>
      </c>
    </row>
    <row r="161" spans="1:21" x14ac:dyDescent="0.3">
      <c r="A161" s="3" t="s">
        <v>116</v>
      </c>
      <c r="B161" s="27">
        <v>8088.65</v>
      </c>
      <c r="C161" s="27"/>
      <c r="D161" s="36">
        <f>552+3062.48</f>
        <v>3614.48</v>
      </c>
      <c r="E161" s="66"/>
      <c r="F161" s="28">
        <f>B161-D161</f>
        <v>4474.17</v>
      </c>
      <c r="G161" s="28">
        <v>4061.130000000001</v>
      </c>
      <c r="H161" s="3">
        <v>4347.2900000000009</v>
      </c>
      <c r="I161" s="3">
        <v>3117.04</v>
      </c>
      <c r="J161" s="52">
        <v>3194.12</v>
      </c>
      <c r="K161" s="3">
        <v>3273.38</v>
      </c>
      <c r="L161" s="3">
        <v>3173.35</v>
      </c>
      <c r="M161" s="28"/>
      <c r="N161" s="28">
        <v>3610.33</v>
      </c>
      <c r="O161" s="28">
        <v>3278.2799999999997</v>
      </c>
      <c r="P161" s="41">
        <v>2750.23</v>
      </c>
      <c r="Q161" s="3">
        <v>2673.55</v>
      </c>
      <c r="R161" s="3">
        <v>3024.1</v>
      </c>
      <c r="S161" s="3">
        <v>2608.71</v>
      </c>
      <c r="T161" s="3">
        <v>2313.71</v>
      </c>
      <c r="U161" s="3">
        <v>1708.48</v>
      </c>
    </row>
    <row r="162" spans="1:21" x14ac:dyDescent="0.3">
      <c r="A162" s="3" t="s">
        <v>117</v>
      </c>
      <c r="B162" s="27">
        <f>6059.96</f>
        <v>6059.96</v>
      </c>
      <c r="C162" s="27"/>
      <c r="D162" s="36">
        <f>62+31.48+1950</f>
        <v>2043.48</v>
      </c>
      <c r="E162" s="36"/>
      <c r="F162" s="28">
        <f>B162-D162</f>
        <v>4016.48</v>
      </c>
      <c r="G162" s="28">
        <v>4984.92</v>
      </c>
      <c r="H162" s="3">
        <v>5118.16</v>
      </c>
      <c r="I162" s="3">
        <v>5268.6</v>
      </c>
      <c r="J162" s="52">
        <v>1676.69</v>
      </c>
      <c r="K162" s="3">
        <v>5994.36</v>
      </c>
      <c r="L162" s="3">
        <v>2744.47</v>
      </c>
      <c r="M162" s="28">
        <v>5539.14</v>
      </c>
      <c r="N162" s="28">
        <v>2881.99</v>
      </c>
      <c r="O162" s="28">
        <v>3639.3500000000004</v>
      </c>
      <c r="P162" s="41"/>
      <c r="Q162" s="3">
        <v>101</v>
      </c>
      <c r="R162" s="3">
        <v>260.7</v>
      </c>
      <c r="S162" s="3">
        <v>383.71</v>
      </c>
      <c r="T162" s="3">
        <v>240.2</v>
      </c>
      <c r="U162" s="3">
        <v>94.35</v>
      </c>
    </row>
    <row r="163" spans="1:21" x14ac:dyDescent="0.3">
      <c r="A163" s="3" t="s">
        <v>118</v>
      </c>
      <c r="B163" s="27">
        <v>441</v>
      </c>
      <c r="C163" s="27"/>
      <c r="D163" s="36">
        <v>50</v>
      </c>
      <c r="E163" s="36"/>
      <c r="F163" s="28">
        <f>B163-D163</f>
        <v>391</v>
      </c>
      <c r="G163" s="28">
        <v>386.5</v>
      </c>
      <c r="H163" s="3">
        <v>853</v>
      </c>
      <c r="I163" s="3">
        <v>477</v>
      </c>
      <c r="J163" s="52">
        <v>1171</v>
      </c>
      <c r="K163" s="3">
        <v>1349.93</v>
      </c>
      <c r="L163" s="3">
        <v>1100.9000000000001</v>
      </c>
      <c r="M163" s="28">
        <v>1097</v>
      </c>
      <c r="N163" s="28">
        <v>887</v>
      </c>
      <c r="O163" s="28">
        <v>1147</v>
      </c>
      <c r="P163" s="41">
        <v>761</v>
      </c>
      <c r="Q163" s="3">
        <v>184.5</v>
      </c>
      <c r="R163" s="3">
        <v>715</v>
      </c>
      <c r="S163" s="3">
        <v>817</v>
      </c>
      <c r="T163" s="3">
        <v>549</v>
      </c>
      <c r="U163" s="3">
        <v>677</v>
      </c>
    </row>
    <row r="164" spans="1:21" ht="15.5" thickBot="1" x14ac:dyDescent="0.35">
      <c r="A164" s="3" t="s">
        <v>119</v>
      </c>
      <c r="B164" s="55"/>
      <c r="C164" s="55"/>
      <c r="D164" s="56"/>
      <c r="E164" s="56"/>
      <c r="F164" s="57">
        <f>B164-D164</f>
        <v>0</v>
      </c>
      <c r="G164" s="57">
        <v>1250</v>
      </c>
      <c r="H164" s="58">
        <v>0</v>
      </c>
      <c r="I164" s="58"/>
      <c r="J164" s="59">
        <v>1897.45</v>
      </c>
      <c r="K164" s="58">
        <v>1616</v>
      </c>
      <c r="L164" s="58"/>
      <c r="M164" s="57">
        <v>250</v>
      </c>
      <c r="N164" s="57">
        <v>0</v>
      </c>
      <c r="O164" s="57">
        <v>1526.71</v>
      </c>
      <c r="P164" s="60">
        <v>1080.56</v>
      </c>
      <c r="Q164" s="58">
        <v>997.3</v>
      </c>
      <c r="R164" s="58">
        <v>883.81</v>
      </c>
      <c r="S164" s="58"/>
      <c r="T164" s="58"/>
      <c r="U164" s="58"/>
    </row>
    <row r="165" spans="1:21" ht="15.5" thickTop="1" x14ac:dyDescent="0.3">
      <c r="A165" s="3" t="s">
        <v>120</v>
      </c>
      <c r="B165" s="27">
        <f>SUM(B160:B164)</f>
        <v>14589.61</v>
      </c>
      <c r="C165" s="27"/>
      <c r="D165" s="28">
        <f>SUM(D160:D164)</f>
        <v>5707.96</v>
      </c>
      <c r="E165" s="28"/>
      <c r="F165" s="28">
        <f>SUM(F160:F164)</f>
        <v>8881.65</v>
      </c>
      <c r="G165" s="28">
        <v>10682.550000000001</v>
      </c>
      <c r="H165" s="3">
        <v>10318.450000000001</v>
      </c>
      <c r="I165" s="3">
        <v>8862.64</v>
      </c>
      <c r="J165" s="52">
        <v>9808.76</v>
      </c>
      <c r="K165" s="3">
        <v>13713.1</v>
      </c>
      <c r="L165" s="28">
        <f>SUM(L160:L164)</f>
        <v>11043.25</v>
      </c>
      <c r="M165" s="28">
        <f>SUM(M160:M164)</f>
        <v>6886.14</v>
      </c>
      <c r="N165" s="28">
        <v>9109.0300000000007</v>
      </c>
      <c r="O165" s="28">
        <f t="shared" ref="O165:U165" si="1">SUM(O160:O164)</f>
        <v>9591.34</v>
      </c>
      <c r="P165" s="3">
        <f t="shared" si="1"/>
        <v>7539.34</v>
      </c>
      <c r="Q165" s="3">
        <f t="shared" si="1"/>
        <v>5988.8</v>
      </c>
      <c r="R165" s="3">
        <f t="shared" si="1"/>
        <v>9109.33</v>
      </c>
      <c r="S165" s="3">
        <f t="shared" si="1"/>
        <v>7987.42</v>
      </c>
      <c r="T165" s="3">
        <f t="shared" si="1"/>
        <v>6105.67</v>
      </c>
      <c r="U165" s="3">
        <f t="shared" si="1"/>
        <v>5139.72</v>
      </c>
    </row>
    <row r="166" spans="1:21" x14ac:dyDescent="0.3">
      <c r="B166" s="67"/>
      <c r="C166" s="67"/>
      <c r="D166" s="34"/>
      <c r="E166" s="34"/>
      <c r="F166" s="34"/>
      <c r="G166" s="34"/>
      <c r="K166" s="3"/>
      <c r="M166" s="28"/>
      <c r="N166" s="28"/>
      <c r="O166" s="28"/>
      <c r="P166" s="41"/>
      <c r="Q166" s="1"/>
      <c r="R166" s="1"/>
      <c r="T166" s="1"/>
      <c r="U166" s="1"/>
    </row>
    <row r="167" spans="1:21" s="61" customFormat="1" x14ac:dyDescent="0.3">
      <c r="A167" s="44" t="s">
        <v>39</v>
      </c>
      <c r="B167" s="67"/>
      <c r="C167" s="67"/>
      <c r="D167" s="34"/>
      <c r="E167" s="34"/>
      <c r="F167" s="44">
        <v>2018</v>
      </c>
      <c r="G167" s="44">
        <v>2017</v>
      </c>
      <c r="H167" s="44">
        <v>2016</v>
      </c>
      <c r="I167" s="44">
        <v>2015</v>
      </c>
      <c r="J167" s="44">
        <v>2014</v>
      </c>
      <c r="K167" s="44">
        <v>2013</v>
      </c>
      <c r="L167" s="44">
        <v>2012</v>
      </c>
      <c r="M167" s="44">
        <v>2011</v>
      </c>
      <c r="N167" s="44">
        <v>2010</v>
      </c>
      <c r="O167" s="44">
        <v>2009</v>
      </c>
      <c r="P167" s="44">
        <v>2008</v>
      </c>
      <c r="Q167" s="44">
        <v>2006</v>
      </c>
      <c r="R167" s="44">
        <v>2005</v>
      </c>
      <c r="S167" s="44">
        <v>2004</v>
      </c>
      <c r="T167" s="68">
        <v>2003</v>
      </c>
      <c r="U167" s="68">
        <v>2002</v>
      </c>
    </row>
    <row r="168" spans="1:21" x14ac:dyDescent="0.3">
      <c r="B168" s="62" t="s">
        <v>69</v>
      </c>
      <c r="C168" s="62"/>
      <c r="D168" s="63" t="s">
        <v>70</v>
      </c>
      <c r="E168" s="63"/>
      <c r="F168" s="63" t="s">
        <v>71</v>
      </c>
      <c r="G168" s="64" t="s">
        <v>71</v>
      </c>
      <c r="H168" s="48" t="s">
        <v>71</v>
      </c>
      <c r="I168" s="63" t="s">
        <v>71</v>
      </c>
      <c r="J168" s="63" t="s">
        <v>71</v>
      </c>
      <c r="K168" s="63" t="s">
        <v>71</v>
      </c>
      <c r="L168" s="63" t="s">
        <v>71</v>
      </c>
      <c r="M168" s="63" t="s">
        <v>71</v>
      </c>
      <c r="N168" s="37" t="s">
        <v>104</v>
      </c>
      <c r="O168" s="64" t="s">
        <v>121</v>
      </c>
      <c r="P168" s="50" t="s">
        <v>71</v>
      </c>
      <c r="Q168" s="50" t="s">
        <v>71</v>
      </c>
      <c r="R168" s="50" t="s">
        <v>71</v>
      </c>
      <c r="S168" s="50" t="s">
        <v>71</v>
      </c>
      <c r="T168" s="50" t="s">
        <v>71</v>
      </c>
      <c r="U168" s="50" t="s">
        <v>71</v>
      </c>
    </row>
    <row r="169" spans="1:21" x14ac:dyDescent="0.3">
      <c r="A169" s="3" t="s">
        <v>122</v>
      </c>
      <c r="B169" s="27">
        <f>2016.91+2375</f>
        <v>4391.91</v>
      </c>
      <c r="C169" s="27"/>
      <c r="D169" s="28">
        <f>140+1149</f>
        <v>1289</v>
      </c>
      <c r="E169" s="28"/>
      <c r="F169" s="28">
        <f>B169-D169</f>
        <v>3102.91</v>
      </c>
      <c r="G169" s="28">
        <v>2847.95</v>
      </c>
      <c r="H169" s="3">
        <v>2252.1</v>
      </c>
      <c r="I169" s="3">
        <v>1838.5</v>
      </c>
      <c r="J169" s="52">
        <v>1232</v>
      </c>
      <c r="K169" s="3">
        <v>1294.25</v>
      </c>
      <c r="L169" s="3">
        <v>1523.5</v>
      </c>
      <c r="M169" s="28">
        <v>1568.45</v>
      </c>
      <c r="N169" s="28">
        <v>1720</v>
      </c>
      <c r="O169" s="28">
        <v>0</v>
      </c>
      <c r="P169" s="41"/>
      <c r="Q169" s="3">
        <v>0</v>
      </c>
      <c r="R169" s="3">
        <v>0</v>
      </c>
      <c r="T169" s="3">
        <v>0</v>
      </c>
      <c r="U169" s="3">
        <v>630</v>
      </c>
    </row>
    <row r="170" spans="1:21" x14ac:dyDescent="0.3">
      <c r="A170" s="3" t="s">
        <v>123</v>
      </c>
      <c r="B170" s="27">
        <v>54.59</v>
      </c>
      <c r="C170" s="27"/>
      <c r="D170" s="28"/>
      <c r="E170" s="28"/>
      <c r="F170" s="28">
        <f>B170-D170</f>
        <v>54.59</v>
      </c>
      <c r="G170" s="28">
        <v>30</v>
      </c>
      <c r="H170" s="3">
        <v>-2635.05</v>
      </c>
      <c r="J170" s="52"/>
      <c r="K170" s="3"/>
      <c r="M170" s="28"/>
      <c r="N170" s="28"/>
      <c r="O170" s="28"/>
      <c r="P170" s="41"/>
    </row>
    <row r="171" spans="1:21" x14ac:dyDescent="0.3">
      <c r="A171" s="53" t="s">
        <v>124</v>
      </c>
      <c r="B171" s="27">
        <v>28600</v>
      </c>
      <c r="C171" s="27"/>
      <c r="D171" s="28"/>
      <c r="E171" s="28"/>
      <c r="F171" s="28">
        <f>B171-D171</f>
        <v>28600</v>
      </c>
      <c r="G171" s="28">
        <v>25600</v>
      </c>
      <c r="H171" s="3">
        <v>36025.449999999997</v>
      </c>
      <c r="I171" s="3">
        <v>32950</v>
      </c>
      <c r="J171" s="52">
        <v>35200</v>
      </c>
      <c r="K171" s="3">
        <v>30350</v>
      </c>
      <c r="L171" s="3">
        <v>11050</v>
      </c>
      <c r="M171" s="28">
        <v>17900</v>
      </c>
      <c r="N171" s="28">
        <v>18100</v>
      </c>
      <c r="O171" s="28">
        <v>14475</v>
      </c>
      <c r="P171" s="41">
        <v>23925</v>
      </c>
      <c r="Q171" s="3">
        <v>-374.75</v>
      </c>
      <c r="R171" s="3">
        <v>1628.67</v>
      </c>
      <c r="S171" s="3">
        <v>11150</v>
      </c>
      <c r="T171" s="3">
        <v>11437.5</v>
      </c>
      <c r="U171" s="3">
        <v>1280</v>
      </c>
    </row>
    <row r="172" spans="1:21" x14ac:dyDescent="0.3">
      <c r="A172" s="3" t="s">
        <v>125</v>
      </c>
      <c r="B172" s="27">
        <v>125</v>
      </c>
      <c r="C172" s="27"/>
      <c r="D172" s="28"/>
      <c r="E172" s="28"/>
      <c r="F172" s="28">
        <f>B172-D172</f>
        <v>125</v>
      </c>
      <c r="G172" s="28">
        <v>50</v>
      </c>
      <c r="H172" s="3">
        <v>50</v>
      </c>
      <c r="I172" s="3">
        <v>15</v>
      </c>
      <c r="J172" s="52">
        <v>506.18</v>
      </c>
      <c r="K172" s="3">
        <v>70</v>
      </c>
      <c r="L172" s="3">
        <v>50</v>
      </c>
      <c r="M172" s="28">
        <v>145</v>
      </c>
      <c r="N172" s="28">
        <v>110</v>
      </c>
      <c r="O172" s="28">
        <v>40</v>
      </c>
      <c r="P172" s="41">
        <v>30</v>
      </c>
      <c r="Q172" s="3">
        <v>80</v>
      </c>
      <c r="R172" s="3">
        <v>40</v>
      </c>
      <c r="S172" s="3">
        <v>80</v>
      </c>
      <c r="T172" s="3">
        <v>90</v>
      </c>
      <c r="U172" s="3">
        <v>104</v>
      </c>
    </row>
    <row r="173" spans="1:21" x14ac:dyDescent="0.3">
      <c r="A173" s="3" t="s">
        <v>126</v>
      </c>
      <c r="B173" s="27">
        <f>944.45+19.45+41.82+41.82+24+29.17</f>
        <v>1100.7100000000003</v>
      </c>
      <c r="C173" s="27"/>
      <c r="D173" s="28">
        <v>200</v>
      </c>
      <c r="E173" s="28"/>
      <c r="F173" s="28">
        <f>B173-D173</f>
        <v>900.71000000000026</v>
      </c>
      <c r="G173" s="28">
        <v>677.92000000000007</v>
      </c>
      <c r="H173" s="3">
        <v>453.51</v>
      </c>
      <c r="I173" s="3">
        <v>59</v>
      </c>
      <c r="J173" s="52">
        <v>34</v>
      </c>
      <c r="K173" s="3">
        <v>1102.72</v>
      </c>
      <c r="L173" s="3">
        <v>224</v>
      </c>
      <c r="M173" s="28">
        <v>647</v>
      </c>
      <c r="N173" s="28">
        <v>0</v>
      </c>
      <c r="O173" s="28">
        <v>824.78</v>
      </c>
      <c r="P173" s="41">
        <v>770.8</v>
      </c>
      <c r="Q173" s="3">
        <v>693.89</v>
      </c>
      <c r="R173" s="3">
        <v>388.59</v>
      </c>
      <c r="S173" s="3">
        <v>774.18</v>
      </c>
      <c r="T173" s="3">
        <v>743.56</v>
      </c>
      <c r="U173" s="3">
        <v>496.7</v>
      </c>
    </row>
    <row r="174" spans="1:21" x14ac:dyDescent="0.3">
      <c r="A174" s="3" t="s">
        <v>127</v>
      </c>
      <c r="B174" s="27">
        <v>350.97</v>
      </c>
      <c r="C174" s="69"/>
      <c r="D174" s="28"/>
      <c r="E174" s="28"/>
      <c r="F174" s="28">
        <f>B174-D174</f>
        <v>350.97</v>
      </c>
      <c r="G174" s="28">
        <v>269.99</v>
      </c>
      <c r="H174" s="3">
        <v>146.02999999999997</v>
      </c>
      <c r="I174" s="3">
        <v>98.13</v>
      </c>
      <c r="J174" s="52">
        <v>173.45</v>
      </c>
      <c r="K174" s="3"/>
      <c r="M174" s="28"/>
      <c r="N174" s="28">
        <v>0</v>
      </c>
      <c r="O174" s="28">
        <v>0.88</v>
      </c>
      <c r="P174" s="41">
        <v>50.67</v>
      </c>
      <c r="Q174" s="3">
        <v>431.09</v>
      </c>
      <c r="R174" s="3">
        <v>154.22</v>
      </c>
      <c r="S174" s="3">
        <v>192.91</v>
      </c>
      <c r="T174" s="3">
        <v>261.54000000000002</v>
      </c>
      <c r="U174" s="3">
        <v>425.45</v>
      </c>
    </row>
    <row r="175" spans="1:21" x14ac:dyDescent="0.3">
      <c r="A175" s="3" t="s">
        <v>128</v>
      </c>
      <c r="B175" s="27">
        <f>6198.43-1378.49</f>
        <v>4819.9400000000005</v>
      </c>
      <c r="C175" s="27"/>
      <c r="D175" s="28"/>
      <c r="E175" s="28"/>
      <c r="F175" s="28">
        <f>B175-D175</f>
        <v>4819.9400000000005</v>
      </c>
      <c r="G175" s="28">
        <v>4700.62</v>
      </c>
      <c r="H175" s="3">
        <v>5572.75</v>
      </c>
      <c r="I175" s="3">
        <v>3687</v>
      </c>
      <c r="J175" s="52">
        <v>1783</v>
      </c>
      <c r="K175" s="3">
        <v>17.98</v>
      </c>
      <c r="L175" s="3">
        <v>868.49</v>
      </c>
      <c r="M175" s="28">
        <v>1131.42</v>
      </c>
      <c r="N175" s="28">
        <v>1957.02</v>
      </c>
      <c r="O175" s="28">
        <v>115</v>
      </c>
      <c r="P175" s="41">
        <v>707.42</v>
      </c>
      <c r="Q175" s="3">
        <v>2082.9899999999998</v>
      </c>
      <c r="R175" s="3">
        <v>2781</v>
      </c>
      <c r="S175" s="3">
        <v>3719.3</v>
      </c>
      <c r="T175" s="3">
        <v>291.37</v>
      </c>
      <c r="U175" s="3">
        <v>3210.72</v>
      </c>
    </row>
    <row r="176" spans="1:21" x14ac:dyDescent="0.3">
      <c r="A176" s="3" t="s">
        <v>129</v>
      </c>
      <c r="B176" s="27">
        <v>2644.91</v>
      </c>
      <c r="C176" s="27"/>
      <c r="D176" s="28">
        <v>180</v>
      </c>
      <c r="E176" s="28"/>
      <c r="F176" s="28">
        <f>B176-D176</f>
        <v>2464.91</v>
      </c>
      <c r="G176" s="28">
        <v>1491.66</v>
      </c>
      <c r="H176" s="3">
        <v>1931</v>
      </c>
      <c r="I176" s="3">
        <v>1666</v>
      </c>
      <c r="J176" s="52">
        <v>2399</v>
      </c>
      <c r="K176" s="3">
        <v>1961.41</v>
      </c>
      <c r="L176" s="3">
        <v>2018</v>
      </c>
      <c r="M176" s="28">
        <v>3166</v>
      </c>
      <c r="N176" s="28">
        <v>2503</v>
      </c>
      <c r="O176" s="28">
        <v>2320</v>
      </c>
      <c r="P176" s="41">
        <v>1782</v>
      </c>
      <c r="Q176" s="3">
        <v>2223</v>
      </c>
      <c r="R176" s="3">
        <v>1544.5</v>
      </c>
      <c r="S176" s="3">
        <v>1258.5</v>
      </c>
    </row>
    <row r="177" spans="1:21" x14ac:dyDescent="0.3">
      <c r="A177" s="3" t="s">
        <v>130</v>
      </c>
      <c r="B177" s="27">
        <v>83.64</v>
      </c>
      <c r="C177" s="27"/>
      <c r="D177" s="28"/>
      <c r="E177" s="28"/>
      <c r="F177" s="28">
        <f>B177-D177</f>
        <v>83.64</v>
      </c>
      <c r="G177" s="28">
        <v>273.45999999999998</v>
      </c>
      <c r="H177" s="3">
        <v>0</v>
      </c>
      <c r="I177" s="3">
        <v>209.88</v>
      </c>
      <c r="J177" s="52">
        <v>328.19</v>
      </c>
      <c r="K177" s="3"/>
      <c r="L177" s="3">
        <v>282</v>
      </c>
      <c r="M177" s="28">
        <v>241.02</v>
      </c>
      <c r="N177" s="28">
        <v>0</v>
      </c>
      <c r="O177" s="28">
        <v>328.19</v>
      </c>
      <c r="Q177" s="3">
        <v>266.19</v>
      </c>
      <c r="R177" s="3">
        <v>350</v>
      </c>
    </row>
    <row r="178" spans="1:21" x14ac:dyDescent="0.3">
      <c r="A178" s="3" t="s">
        <v>131</v>
      </c>
      <c r="B178" s="27">
        <v>2850</v>
      </c>
      <c r="C178" s="27"/>
      <c r="D178" s="28"/>
      <c r="E178" s="28"/>
      <c r="F178" s="28">
        <f>B178-D178</f>
        <v>2850</v>
      </c>
      <c r="G178" s="28">
        <v>3100</v>
      </c>
      <c r="H178" s="3">
        <v>2400</v>
      </c>
      <c r="I178" s="3">
        <v>1660</v>
      </c>
      <c r="K178" s="3"/>
      <c r="M178" s="28">
        <v>138.01</v>
      </c>
      <c r="N178" s="28">
        <v>214.8</v>
      </c>
      <c r="O178" s="28">
        <v>38.6</v>
      </c>
      <c r="P178" s="41">
        <v>272.3</v>
      </c>
      <c r="Q178" s="3">
        <v>0</v>
      </c>
      <c r="R178" s="3">
        <v>183.59</v>
      </c>
      <c r="T178" s="3">
        <v>85.45</v>
      </c>
      <c r="U178" s="3">
        <v>167.88</v>
      </c>
    </row>
    <row r="179" spans="1:21" x14ac:dyDescent="0.3">
      <c r="A179" s="3" t="s">
        <v>132</v>
      </c>
      <c r="B179" s="27">
        <v>25273.72</v>
      </c>
      <c r="C179" s="27"/>
      <c r="D179" s="28"/>
      <c r="E179" s="28"/>
      <c r="F179" s="28">
        <f>B179-D179</f>
        <v>25273.72</v>
      </c>
      <c r="G179" s="28">
        <v>28957.23</v>
      </c>
      <c r="H179" s="3">
        <v>25078.560000000001</v>
      </c>
      <c r="I179" s="3">
        <v>25128.93</v>
      </c>
      <c r="J179" s="52">
        <v>29325.759999999998</v>
      </c>
      <c r="K179" s="3">
        <v>30881.56</v>
      </c>
      <c r="L179" s="3">
        <v>35187.49</v>
      </c>
      <c r="M179" s="28">
        <v>36917.019999999997</v>
      </c>
      <c r="N179" s="28">
        <v>24208.400000000001</v>
      </c>
      <c r="O179" s="28">
        <v>29958.63</v>
      </c>
      <c r="P179" s="41">
        <v>30354.19</v>
      </c>
      <c r="Q179" s="3">
        <v>27093.43</v>
      </c>
      <c r="R179" s="3">
        <v>22834.09</v>
      </c>
      <c r="S179" s="3">
        <v>11658.92</v>
      </c>
      <c r="T179" s="3">
        <v>14594.44</v>
      </c>
      <c r="U179" s="3">
        <v>16046.49</v>
      </c>
    </row>
    <row r="180" spans="1:21" x14ac:dyDescent="0.3">
      <c r="A180" s="3" t="s">
        <v>133</v>
      </c>
      <c r="B180" s="27">
        <f>680.92+928.45</f>
        <v>1609.37</v>
      </c>
      <c r="C180" s="27"/>
      <c r="D180" s="28">
        <v>50</v>
      </c>
      <c r="E180" s="28"/>
      <c r="F180" s="28">
        <f>B180-D180</f>
        <v>1559.37</v>
      </c>
      <c r="G180" s="28">
        <v>1722.61</v>
      </c>
      <c r="H180" s="3">
        <v>2186.94</v>
      </c>
      <c r="I180" s="3">
        <v>1590</v>
      </c>
      <c r="J180" s="52">
        <v>1755</v>
      </c>
      <c r="K180" s="3">
        <v>1395</v>
      </c>
      <c r="L180" s="3">
        <v>1091</v>
      </c>
      <c r="M180" s="28">
        <v>896.84</v>
      </c>
      <c r="N180" s="28">
        <v>893</v>
      </c>
      <c r="O180" s="28">
        <v>943</v>
      </c>
      <c r="P180" s="41">
        <v>1308</v>
      </c>
      <c r="Q180" s="3">
        <v>1234</v>
      </c>
      <c r="R180" s="3">
        <v>1272</v>
      </c>
      <c r="S180" s="3">
        <v>1266.5</v>
      </c>
      <c r="T180" s="3">
        <v>997</v>
      </c>
      <c r="U180" s="3">
        <v>1499</v>
      </c>
    </row>
    <row r="181" spans="1:21" x14ac:dyDescent="0.3">
      <c r="A181" s="3" t="s">
        <v>134</v>
      </c>
      <c r="B181" s="27">
        <v>524.1</v>
      </c>
      <c r="C181" s="27"/>
      <c r="D181" s="28"/>
      <c r="E181" s="28"/>
      <c r="F181" s="28">
        <f>B181-D181</f>
        <v>524.1</v>
      </c>
      <c r="G181" s="28">
        <v>1322.48</v>
      </c>
      <c r="H181" s="3">
        <v>221.18000000000006</v>
      </c>
      <c r="I181" s="3">
        <v>750</v>
      </c>
      <c r="J181" s="52">
        <v>2127</v>
      </c>
      <c r="K181" s="3">
        <v>2067.59</v>
      </c>
      <c r="L181" s="3">
        <v>1241.71</v>
      </c>
      <c r="M181" s="28">
        <v>505</v>
      </c>
      <c r="N181" s="28">
        <v>490</v>
      </c>
      <c r="O181" s="28"/>
      <c r="P181" s="41"/>
    </row>
    <row r="182" spans="1:21" x14ac:dyDescent="0.3">
      <c r="A182" s="3" t="s">
        <v>135</v>
      </c>
      <c r="B182" s="27">
        <f>690+25+374.32+0.04+567.5+219.47</f>
        <v>1876.33</v>
      </c>
      <c r="C182" s="27"/>
      <c r="D182" s="28">
        <f>106.13+22.39+232.29+8.23+52.18+68.8+26.21+102.89+47.38+332.31+2.19+100</f>
        <v>1101</v>
      </c>
      <c r="E182" s="28"/>
      <c r="F182" s="28">
        <f>B182-D182</f>
        <v>775.32999999999993</v>
      </c>
      <c r="G182" s="28"/>
      <c r="J182" s="52"/>
      <c r="K182" s="3"/>
      <c r="M182" s="28"/>
      <c r="N182" s="28"/>
      <c r="O182" s="28"/>
      <c r="P182" s="41"/>
    </row>
    <row r="183" spans="1:21" ht="15.5" thickBot="1" x14ac:dyDescent="0.35">
      <c r="A183" s="58" t="s">
        <v>136</v>
      </c>
      <c r="B183" s="55">
        <v>31508.22</v>
      </c>
      <c r="C183" s="55"/>
      <c r="D183" s="57"/>
      <c r="E183" s="57"/>
      <c r="F183" s="57">
        <f>B183-D183</f>
        <v>31508.22</v>
      </c>
      <c r="G183" s="57">
        <v>40989.040000000001</v>
      </c>
      <c r="H183" s="58"/>
      <c r="I183" s="58"/>
      <c r="J183" s="58"/>
      <c r="K183" s="58"/>
      <c r="L183" s="58"/>
      <c r="M183" s="57"/>
      <c r="N183" s="57"/>
      <c r="O183" s="57"/>
      <c r="P183" s="60"/>
      <c r="Q183" s="58"/>
      <c r="R183" s="58"/>
      <c r="S183" s="58"/>
      <c r="T183" s="58"/>
      <c r="U183" s="58"/>
    </row>
    <row r="184" spans="1:21" ht="15.5" thickTop="1" x14ac:dyDescent="0.3">
      <c r="A184" s="3" t="s">
        <v>137</v>
      </c>
      <c r="B184" s="27">
        <f>SUM(B169:B183)</f>
        <v>105813.41</v>
      </c>
      <c r="C184" s="27"/>
      <c r="D184" s="28">
        <f>SUM(D169:D183)</f>
        <v>2820</v>
      </c>
      <c r="E184" s="28"/>
      <c r="F184" s="28">
        <f>SUM(F169:F183)</f>
        <v>102993.41</v>
      </c>
      <c r="G184" s="28">
        <f>SUM(G169:G183)</f>
        <v>112032.95999999999</v>
      </c>
      <c r="H184" s="28">
        <f>SUM(H169:H183)</f>
        <v>73682.47</v>
      </c>
      <c r="I184" s="28">
        <f>SUM(I169:I183)</f>
        <v>69652.44</v>
      </c>
      <c r="J184" s="52">
        <v>75090.009999999995</v>
      </c>
      <c r="K184" s="3">
        <v>76671.759999999995</v>
      </c>
      <c r="L184" s="28">
        <f>SUM(L171:L183)</f>
        <v>52012.689999999995</v>
      </c>
      <c r="M184" s="28">
        <f>SUM(M171:M183)</f>
        <v>61687.30999999999</v>
      </c>
      <c r="N184" s="28">
        <v>58522.49</v>
      </c>
      <c r="O184" s="28">
        <v>63125.810000000005</v>
      </c>
      <c r="P184" s="3">
        <f t="shared" ref="P184:U184" si="2">SUM(P171:P183)</f>
        <v>59200.37999999999</v>
      </c>
      <c r="Q184" s="3">
        <f t="shared" si="2"/>
        <v>33729.839999999997</v>
      </c>
      <c r="R184" s="3">
        <f t="shared" si="2"/>
        <v>31176.66</v>
      </c>
      <c r="S184" s="3">
        <f t="shared" si="2"/>
        <v>30100.309999999998</v>
      </c>
      <c r="T184" s="3">
        <f t="shared" si="2"/>
        <v>28500.86</v>
      </c>
      <c r="U184" s="3">
        <f t="shared" si="2"/>
        <v>23230.239999999998</v>
      </c>
    </row>
    <row r="185" spans="1:21" x14ac:dyDescent="0.3">
      <c r="B185" s="27"/>
      <c r="C185" s="27"/>
      <c r="D185" s="28"/>
      <c r="E185" s="28"/>
      <c r="F185" s="28"/>
      <c r="G185" s="28"/>
      <c r="K185" s="3"/>
      <c r="L185" s="28"/>
      <c r="M185" s="9"/>
      <c r="N185" s="28"/>
      <c r="O185" s="28"/>
      <c r="P185" s="41"/>
    </row>
    <row r="186" spans="1:21" x14ac:dyDescent="0.3">
      <c r="A186" s="6" t="s">
        <v>138</v>
      </c>
      <c r="B186" s="70">
        <f>B133+B156+B165+B184</f>
        <v>370181.41000000003</v>
      </c>
      <c r="C186" s="70"/>
      <c r="D186" s="71">
        <f>D133+D156+D165+D184</f>
        <v>41434.819999999992</v>
      </c>
      <c r="E186" s="71"/>
      <c r="F186" s="71">
        <f>SUM(F133+F156+F165+F184)</f>
        <v>328746.59000000003</v>
      </c>
      <c r="G186" s="71">
        <v>350606.25999999995</v>
      </c>
      <c r="H186" s="6">
        <v>322505.57000000007</v>
      </c>
      <c r="I186" s="6">
        <v>277779.37</v>
      </c>
      <c r="J186" s="71">
        <f t="shared" ref="J186:T186" si="3">SUM(J133+J156+J165+J184)</f>
        <v>328509.93000000005</v>
      </c>
      <c r="K186" s="71">
        <f t="shared" si="3"/>
        <v>320314.11</v>
      </c>
      <c r="L186" s="71">
        <f t="shared" si="3"/>
        <v>267599.26</v>
      </c>
      <c r="M186" s="71">
        <f t="shared" si="3"/>
        <v>268149.58999999997</v>
      </c>
      <c r="N186" s="6">
        <f t="shared" si="3"/>
        <v>287108.67000000004</v>
      </c>
      <c r="O186" s="6">
        <f t="shared" si="3"/>
        <v>270881.57</v>
      </c>
      <c r="P186" s="6">
        <f t="shared" si="3"/>
        <v>258146.93</v>
      </c>
      <c r="Q186" s="6">
        <f t="shared" si="3"/>
        <v>238926.98999999996</v>
      </c>
      <c r="R186" s="6">
        <f t="shared" si="3"/>
        <v>225724.44999999998</v>
      </c>
      <c r="S186" s="6">
        <f t="shared" si="3"/>
        <v>200273.16</v>
      </c>
      <c r="T186" s="6">
        <f t="shared" si="3"/>
        <v>188428.08000000002</v>
      </c>
      <c r="U186" s="6">
        <f>U184+U165+U156+U133</f>
        <v>180638.44</v>
      </c>
    </row>
    <row r="187" spans="1:21" x14ac:dyDescent="0.3">
      <c r="B187" s="27"/>
      <c r="C187" s="27"/>
      <c r="D187" s="28"/>
      <c r="E187" s="28"/>
      <c r="F187" s="28"/>
      <c r="G187" s="28"/>
      <c r="H187" s="28"/>
      <c r="I187" s="28"/>
      <c r="J187" s="28"/>
      <c r="K187" s="3"/>
      <c r="M187" s="28"/>
    </row>
    <row r="188" spans="1:21" x14ac:dyDescent="0.3">
      <c r="B188" s="27"/>
      <c r="C188" s="27"/>
      <c r="D188" s="28"/>
      <c r="E188" s="28"/>
      <c r="F188" s="28"/>
      <c r="G188" s="28"/>
      <c r="H188" s="28"/>
      <c r="I188" s="28"/>
      <c r="J188" s="28"/>
      <c r="K188" s="3"/>
    </row>
    <row r="189" spans="1:21" x14ac:dyDescent="0.3">
      <c r="B189" s="27"/>
      <c r="C189" s="27"/>
      <c r="D189" s="28"/>
      <c r="E189" s="28"/>
      <c r="F189" s="28"/>
      <c r="G189" s="28"/>
      <c r="H189" s="28"/>
      <c r="I189" s="28"/>
      <c r="J189" s="28"/>
      <c r="K189" s="3"/>
    </row>
    <row r="190" spans="1:21" x14ac:dyDescent="0.3">
      <c r="B190" s="27"/>
      <c r="C190" s="27"/>
      <c r="D190" s="28"/>
      <c r="E190" s="28"/>
      <c r="F190" s="28"/>
      <c r="G190" s="28"/>
      <c r="H190" s="28"/>
      <c r="I190" s="28"/>
      <c r="J190" s="28"/>
      <c r="K190" s="3"/>
    </row>
    <row r="191" spans="1:21" x14ac:dyDescent="0.3">
      <c r="B191" s="27"/>
      <c r="C191" s="27"/>
      <c r="D191" s="28"/>
      <c r="E191" s="28"/>
      <c r="F191" s="28"/>
      <c r="G191" s="28"/>
      <c r="H191" s="28"/>
      <c r="I191" s="28"/>
      <c r="J191" s="28"/>
      <c r="K191" s="3"/>
    </row>
    <row r="192" spans="1:21" x14ac:dyDescent="0.3">
      <c r="B192" s="27"/>
      <c r="C192" s="27"/>
      <c r="D192" s="28"/>
      <c r="E192" s="28"/>
      <c r="F192" s="28"/>
      <c r="G192" s="28"/>
      <c r="H192" s="28"/>
      <c r="I192" s="28"/>
      <c r="J192" s="28"/>
      <c r="K192" s="3"/>
    </row>
    <row r="193" spans="2:11" x14ac:dyDescent="0.3">
      <c r="B193" s="27"/>
      <c r="C193" s="27"/>
      <c r="D193" s="28"/>
      <c r="E193" s="28"/>
      <c r="F193" s="28"/>
      <c r="G193" s="28"/>
      <c r="H193" s="28"/>
      <c r="I193" s="28"/>
      <c r="J193" s="28"/>
      <c r="K193" s="3"/>
    </row>
    <row r="194" spans="2:11" x14ac:dyDescent="0.3">
      <c r="B194" s="27"/>
      <c r="C194" s="27"/>
      <c r="D194" s="28"/>
      <c r="E194" s="28"/>
      <c r="F194" s="28"/>
      <c r="G194" s="28"/>
      <c r="H194" s="28"/>
      <c r="I194" s="28"/>
      <c r="J194" s="28"/>
      <c r="K194" s="3"/>
    </row>
    <row r="195" spans="2:11" x14ac:dyDescent="0.3">
      <c r="B195" s="27"/>
      <c r="C195" s="27"/>
      <c r="D195" s="28"/>
      <c r="E195" s="28"/>
      <c r="F195" s="28"/>
      <c r="G195" s="28"/>
      <c r="H195" s="28"/>
      <c r="I195" s="28"/>
      <c r="J195" s="28"/>
      <c r="K195" s="3"/>
    </row>
    <row r="196" spans="2:11" x14ac:dyDescent="0.3">
      <c r="B196" s="27"/>
      <c r="C196" s="27"/>
      <c r="D196" s="28"/>
      <c r="E196" s="28"/>
      <c r="F196" s="28"/>
      <c r="G196" s="28"/>
      <c r="H196" s="28"/>
      <c r="I196" s="28"/>
      <c r="J196" s="28"/>
      <c r="K196" s="3"/>
    </row>
  </sheetData>
  <pageMargins left="0" right="0" top="0.75" bottom="0.75" header="0.3" footer="0.3"/>
  <pageSetup firstPageNumber="0" orientation="portrait" r:id="rId1"/>
  <headerFooter alignWithMargins="0"/>
  <rowBreaks count="3" manualBreakCount="3">
    <brk id="87" max="16383" man="1"/>
    <brk id="138" max="16383" man="1"/>
    <brk id="192" max="16383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Annual Report (2018)</vt:lpstr>
      <vt:lpstr>'Annual Report (2018)'!__xlnm.Print_Area_12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Rodney Burkholder</dc:creator>
  <cp:lastModifiedBy>Rodney Burkholder</cp:lastModifiedBy>
  <dcterms:created xsi:type="dcterms:W3CDTF">2019-01-07T23:37:25Z</dcterms:created>
  <dcterms:modified xsi:type="dcterms:W3CDTF">2019-01-07T23:41:22Z</dcterms:modified>
</cp:coreProperties>
</file>